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隐患动态跟踪表" sheetId="1" r:id="rId4"/>
  </sheets>
  <definedNames/>
  <calcPr calcId="999999" calcMode="auto" calcCompleted="1" fullCalcOnLoad="0"/>
</workbook>
</file>

<file path=xl/sharedStrings.xml><?xml version="1.0" encoding="utf-8"?>
<sst xmlns="http://schemas.openxmlformats.org/spreadsheetml/2006/main" uniqueCount="2291">
  <si>
    <t>潍坊振兴焦化有限公司安全生产KPI指标报表（隐患动态跟踪表）</t>
  </si>
  <si>
    <t>2020年6月</t>
  </si>
  <si>
    <t>隐患基本信息</t>
  </si>
  <si>
    <t>隐患特征</t>
  </si>
  <si>
    <t>数据分析</t>
  </si>
  <si>
    <t>整改方向</t>
  </si>
  <si>
    <t>整改情况</t>
  </si>
  <si>
    <t>序号</t>
  </si>
  <si>
    <t>发现日期</t>
  </si>
  <si>
    <t>区域</t>
  </si>
  <si>
    <t>隐患描述</t>
  </si>
  <si>
    <t>潜在后果</t>
  </si>
  <si>
    <t>状态</t>
  </si>
  <si>
    <t>紧急程度</t>
  </si>
  <si>
    <t>来源</t>
  </si>
  <si>
    <t>隐患类型1</t>
  </si>
  <si>
    <t>隐患类型2</t>
  </si>
  <si>
    <t>隐患类型3</t>
  </si>
  <si>
    <t>隐患类型4</t>
  </si>
  <si>
    <t>发现单位</t>
  </si>
  <si>
    <t>发现人</t>
  </si>
  <si>
    <t>责任部门</t>
  </si>
  <si>
    <t>责任领导</t>
  </si>
  <si>
    <t>整改期限</t>
  </si>
  <si>
    <t>具体位置</t>
  </si>
  <si>
    <t>核查评语</t>
  </si>
  <si>
    <t>后果类别</t>
  </si>
  <si>
    <t>严重性</t>
  </si>
  <si>
    <t>可能性</t>
  </si>
  <si>
    <t>风险级别</t>
  </si>
  <si>
    <t>整改方向1</t>
  </si>
  <si>
    <t>整改方向2</t>
  </si>
  <si>
    <t>整改措施</t>
  </si>
  <si>
    <t>措施数</t>
  </si>
  <si>
    <t>完成数</t>
  </si>
  <si>
    <t>整改进度</t>
  </si>
  <si>
    <t>复查人员</t>
  </si>
  <si>
    <t>复查日期</t>
  </si>
  <si>
    <t>说明</t>
  </si>
  <si>
    <t>19-6-5</t>
  </si>
  <si>
    <t>4.3m焦炉水熄池</t>
  </si>
  <si>
    <t>1人死亡</t>
  </si>
  <si>
    <t>已整改</t>
  </si>
  <si>
    <t>中等</t>
  </si>
  <si>
    <t>隐患排查</t>
  </si>
  <si>
    <t>设备、设施、工具、附件缺陷</t>
  </si>
  <si>
    <t>炼焦车间</t>
  </si>
  <si>
    <t>田兴军</t>
  </si>
  <si>
    <t>孙建雷</t>
  </si>
  <si>
    <t>19-6-15</t>
  </si>
  <si>
    <t>水熄池上方爬梯</t>
  </si>
  <si>
    <t>此处为较明显的施工时管线布局仅考虑施工便利，未充分考量对后程运行巡检人员可能带来的潜在危害。</t>
  </si>
  <si>
    <t>人员伤害</t>
  </si>
  <si>
    <t>C4</t>
  </si>
  <si>
    <t>F2</t>
  </si>
  <si>
    <t>II</t>
  </si>
  <si>
    <t>设备变更管理</t>
  </si>
  <si>
    <t>√ 将阻挡通行的爬梯口管线进行改道重新布局，避开人员通行区
√ 上下爬梯显眼处加安全警示标牌</t>
  </si>
  <si>
    <t>100%</t>
  </si>
  <si>
    <t>19-6-21</t>
  </si>
  <si>
    <t>管线已改造，标牌已挂</t>
  </si>
  <si>
    <t>19-6-6</t>
  </si>
  <si>
    <t>4.3米1#炉机侧</t>
  </si>
  <si>
    <t>人员肩部损伤，轻微医疗伤害。</t>
  </si>
  <si>
    <t>一般</t>
  </si>
  <si>
    <t>何勇</t>
  </si>
  <si>
    <t>刘钦伟</t>
  </si>
  <si>
    <t>19-9-7</t>
  </si>
  <si>
    <t>西侧滑电轨</t>
  </si>
  <si>
    <t>盲区问题发现及时</t>
  </si>
  <si>
    <t>C2</t>
  </si>
  <si>
    <t>F3</t>
  </si>
  <si>
    <t>III</t>
  </si>
  <si>
    <t>机械完整性</t>
  </si>
  <si>
    <t>√ 通知生产班组，人员通行及操作送煤车时注意雨挡情况
√ 1#炉检修时送煤车滑电轨断电加固雨挡</t>
  </si>
  <si>
    <t>19-7-6</t>
  </si>
  <si>
    <t>已做好检修准备，择机检修。</t>
  </si>
  <si>
    <t>部分装置停车，损失3000元</t>
  </si>
  <si>
    <t>财产损失</t>
  </si>
  <si>
    <t>C1</t>
  </si>
  <si>
    <t>F4</t>
  </si>
  <si>
    <t>IV</t>
  </si>
  <si>
    <t>19-6-7</t>
  </si>
  <si>
    <t>4.3米焦炉炉顶</t>
  </si>
  <si>
    <t>人员小腿断裂，经医院抢救，住院15天，修养半年，造成损工。</t>
  </si>
  <si>
    <t>张瑞强</t>
  </si>
  <si>
    <t>19-6-14</t>
  </si>
  <si>
    <t>2#炉中间除尘孔</t>
  </si>
  <si>
    <t>缺少有效防护的除尘孔存在人员跌落风险，尽快配装除尘孔盖消除隐患，在孔盖到位前采取有效措施防止人员跌落</t>
  </si>
  <si>
    <t>C3</t>
  </si>
  <si>
    <t>工艺安全信息</t>
  </si>
  <si>
    <t>√ 加装除尘孔盖，消除人员跌落风险
√ 暂用铁板进行有效遮盖，悬挂警示牌对操作人员进行安全警示</t>
  </si>
  <si>
    <t>19-6-22</t>
  </si>
  <si>
    <t>按要求加装除尘孔盖</t>
  </si>
  <si>
    <t>4.3米焦炉</t>
  </si>
  <si>
    <t>人员手腕骨折，住院治疗15天，休养3个月，造成损工</t>
  </si>
  <si>
    <t>关闭</t>
  </si>
  <si>
    <t>其他行为性危险和有害因素</t>
  </si>
  <si>
    <t>其他作业环境不良</t>
  </si>
  <si>
    <t>其他管理因素缺陷</t>
  </si>
  <si>
    <t>耿金鹏</t>
  </si>
  <si>
    <t>焦侧间台处道轨</t>
  </si>
  <si>
    <t>临时拉条需要调整，过后等调整完毕再进行灌浆料浇筑</t>
  </si>
  <si>
    <t>0%</t>
  </si>
  <si>
    <t>5.5米焦炉拦焦</t>
  </si>
  <si>
    <t>人身伤害</t>
  </si>
  <si>
    <t>行为性危险有害因素</t>
  </si>
  <si>
    <t>高温物质</t>
  </si>
  <si>
    <t>室外作业场地环境不良</t>
  </si>
  <si>
    <t>王勇</t>
  </si>
  <si>
    <t>拦焦岗位</t>
  </si>
  <si>
    <t>按照安全操作规程和劳保着装要求作业，此项问题可以解决。</t>
  </si>
  <si>
    <t>人员被车辆挤在炉门之间，多处身体部位肢解挤碎，当场死亡。</t>
  </si>
  <si>
    <t>丁丽莉</t>
  </si>
  <si>
    <t>拦焦车</t>
  </si>
  <si>
    <t>该设备运行时已采取警示报警，摄像监控，现场危险告知警示提示等措施，目前已停运使用，改用新式拦焦车。</t>
  </si>
  <si>
    <t>I</t>
  </si>
  <si>
    <t>干熄炉及地下室</t>
  </si>
  <si>
    <t>人员滑倒</t>
  </si>
  <si>
    <t>辨识功能缺陷</t>
  </si>
  <si>
    <t>潘增辉</t>
  </si>
  <si>
    <t>孙连祥</t>
  </si>
  <si>
    <t>19-7-1</t>
  </si>
  <si>
    <t>干熄炉二层</t>
  </si>
  <si>
    <t>F1</t>
  </si>
  <si>
    <t>√ 重新捆扎固定</t>
  </si>
  <si>
    <t>干熄焦提升机</t>
  </si>
  <si>
    <t>高处坠落一人死亡</t>
  </si>
  <si>
    <t>刘振华</t>
  </si>
  <si>
    <t>干熄炉提升框架顶部</t>
  </si>
  <si>
    <t>有警示作用，照明不良等环境因素也是引发事故的一个方面，需重视</t>
  </si>
  <si>
    <t>√ 及时更换损坏的照明灯，确保操作现场达到合理的照度</t>
  </si>
  <si>
    <t>19-6-23</t>
  </si>
  <si>
    <t>人员腿部损伤，损工两天。</t>
  </si>
  <si>
    <t>于观彦</t>
  </si>
  <si>
    <t>19-7-22</t>
  </si>
  <si>
    <t>1#炉拦焦平台南端</t>
  </si>
  <si>
    <t>√ 维修处理
√ 发现隐患及时反馈处理</t>
  </si>
  <si>
    <t>水泥封死</t>
  </si>
  <si>
    <t>19-6-8</t>
  </si>
  <si>
    <t>5.5米抑尘项目</t>
  </si>
  <si>
    <t>高处坠落后仰至减速机大轴上腰椎粉碎性骨折，就医休养6个月</t>
  </si>
  <si>
    <t>职业安全卫生管理规章制度不完善</t>
  </si>
  <si>
    <t>朱冬梅</t>
  </si>
  <si>
    <t>刘葆华</t>
  </si>
  <si>
    <t>19-7-10</t>
  </si>
  <si>
    <t>抑尘项目</t>
  </si>
  <si>
    <t>风险判定合理，对违章作业人员有较好的教育警示作用</t>
  </si>
  <si>
    <t>承包商管理</t>
  </si>
  <si>
    <t>√ 加强培训教育，安全带高挂低用。
√ 现场搭设平台或脚手板，防止人员踩蹭滑跌。</t>
  </si>
  <si>
    <t>19-6-10</t>
  </si>
  <si>
    <t>已按照要求进行整改</t>
  </si>
  <si>
    <t>干熄焦区域</t>
  </si>
  <si>
    <t>人员死亡</t>
  </si>
  <si>
    <t>孙文鹏</t>
  </si>
  <si>
    <t>19-7-8</t>
  </si>
  <si>
    <t>提升机</t>
  </si>
  <si>
    <t>有警示意义，提升机下方通行需采取防坠物砸伤措施</t>
  </si>
  <si>
    <t>有效的沟通</t>
  </si>
  <si>
    <t>√ 撒沙操作时，与其他人员沟通好，下方防护门关闭专人监护禁止通行</t>
  </si>
  <si>
    <t>腿部骨折损工事故</t>
  </si>
  <si>
    <t>张瑞海</t>
  </si>
  <si>
    <t>刘青松</t>
  </si>
  <si>
    <t>19-6-11</t>
  </si>
  <si>
    <t>干熄焦余热锅炉底部</t>
  </si>
  <si>
    <t>有安全设施但不在有效位置，增加了事故风险，需经常检查处理确保盖板等安全设施在有效位置</t>
  </si>
  <si>
    <t>√ 盖板等安全设施放回有效位置，起到防止人员跌落的作用</t>
  </si>
  <si>
    <t>19-6-12</t>
  </si>
  <si>
    <t>盖板放有效位置并注意保持</t>
  </si>
  <si>
    <t>一名操作工不慎掉入积水坑，造成左手臂骨折，损工六个月</t>
  </si>
  <si>
    <t>室内作业环境不良</t>
  </si>
  <si>
    <t>程雅君</t>
  </si>
  <si>
    <t>焦炉地下室</t>
  </si>
  <si>
    <t>√ 维修制作盖板
√ 操作人员巡检时发现移除及时盖严</t>
  </si>
  <si>
    <t>潜在人员从此经过被砸伤的风险，可致死或者轻伤</t>
  </si>
  <si>
    <t>物理性危险和有害因素</t>
  </si>
  <si>
    <t>建筑物和其他结构缺陷</t>
  </si>
  <si>
    <t>职业安全卫生投入不足</t>
  </si>
  <si>
    <t>房军</t>
  </si>
  <si>
    <t>2#炉焦测通廊顶部</t>
  </si>
  <si>
    <t>此处应严格控制上部用水，避免积水渗漏，造成楼面腐蚀。</t>
  </si>
  <si>
    <t>焦测炉台人员随混凝土脱落而跌落跌伤，造成骨折或擦扭伤</t>
  </si>
  <si>
    <t>防护缺陷</t>
  </si>
  <si>
    <t>5.5米焦炉</t>
  </si>
  <si>
    <t>人员从刮板机坠落至地面，头部着地当场昏迷，经医院抢救无效死亡</t>
  </si>
  <si>
    <t>刘海峰</t>
  </si>
  <si>
    <t>送煤车</t>
  </si>
  <si>
    <t>人的不安全行为是最大的安全隐患</t>
  </si>
  <si>
    <t>培训和表现</t>
  </si>
  <si>
    <t>√ 加强职工操作安全培训教育，杜绝违章作业行为的发生。
√ 现场悬挂禁止翻越护栏警示标牌，人员作业办理相关作业票证，安全带高挂低用，现场专人监护。</t>
  </si>
  <si>
    <t>及时清理余煤，带安全带</t>
  </si>
  <si>
    <t>一人严重灼伤</t>
  </si>
  <si>
    <t>监护失误</t>
  </si>
  <si>
    <t>郭峰祥</t>
  </si>
  <si>
    <t>循环水加药间</t>
  </si>
  <si>
    <t>√ 让维修进行管道加固
√ 管道定期检查</t>
  </si>
  <si>
    <t>加装支架进行固定</t>
  </si>
  <si>
    <t>推焦冒黑烟，被公司内通报。</t>
  </si>
  <si>
    <t>张晓燕</t>
  </si>
  <si>
    <t>焦侧地面除尘站</t>
  </si>
  <si>
    <t>环境污染</t>
  </si>
  <si>
    <t>√ 维修人员根据公司管理要求，采取特殊作业安全措施后，对该防爆板进行更换。
√ 维修期间，生产班组做好除尘停运配合。</t>
  </si>
  <si>
    <t>维修处理完毕</t>
  </si>
  <si>
    <t>人员肩部损伤，轻微伤害。</t>
  </si>
  <si>
    <t>高空坠落，人员伤亡</t>
  </si>
  <si>
    <t>于林海</t>
  </si>
  <si>
    <t>干熄炉东侧除尘</t>
  </si>
  <si>
    <t>√ 维修人员根据公司规定，做好高处作业安全措施后，对移位平台进行进一步检查，对底板进行焊接加固处理
√ 维修处理前，在平台下方增设“平台开焊，严禁上下”警示标志，并用铁丝将爬梯封闭</t>
  </si>
  <si>
    <t>19-6-24</t>
  </si>
  <si>
    <t>左小腿骨折</t>
  </si>
  <si>
    <t>董永涛</t>
  </si>
  <si>
    <t>抑尘塔</t>
  </si>
  <si>
    <t>该隐患虽已现场采取进行纠正措施，但通过后果分析，对外协人员的教育效果更加明显。</t>
  </si>
  <si>
    <t>√ 加强特殊作业风险培训教育，保障熟练规范使用安全防护器材
√ 加强外协人员管理，避免作业人员随意进入非作业区域</t>
  </si>
  <si>
    <t>对现场作业人员的违章行为进行了批评纠正，现场检查并指导其安全带规范使用，加强安全监护督导，并对作业区域增设了护栏，防止人员随意进入。</t>
  </si>
  <si>
    <t>人员头部受伤轻微脑震荡，损工一周。</t>
  </si>
  <si>
    <t>脚手架、阶梯或活动梯架缺陷</t>
  </si>
  <si>
    <t>环境除尘西侧框架西北</t>
  </si>
  <si>
    <t>√ 维修人员割除角铁</t>
  </si>
  <si>
    <t>王安博</t>
  </si>
  <si>
    <t>19-6-20</t>
  </si>
  <si>
    <t>5.5米焦炉炉顶北头</t>
  </si>
  <si>
    <t>该隐患发现较为及时，对随意改变设备运行条件和运行状况的现象，有较好的安全教育意义。</t>
  </si>
  <si>
    <t>√ 按照公司设备管理要求，更换或维修吊具挂钩，检查或更新钢丝绳。
√ 去除吊钩上方增重物</t>
  </si>
  <si>
    <t>造成一人损工十天</t>
  </si>
  <si>
    <t>王海涛</t>
  </si>
  <si>
    <t>隐患排查到位，能够发现潜在隐患，并及时提报，便于车间采取相应防范措施，避免人员伤害事件的发生。</t>
  </si>
  <si>
    <t>√ 将此处盖板加宽10厘米左右
√ 根据地沟宽度，在盖板下部焊接限位挡铁，防止因盖板窜动，导致一边脱离地沟边沿。</t>
  </si>
  <si>
    <t>19-6-9</t>
  </si>
  <si>
    <t>深度处理工段</t>
  </si>
  <si>
    <t>右手掌电灼伤，住院10天修养1个月的损工事件</t>
  </si>
  <si>
    <t>电伤害</t>
  </si>
  <si>
    <t>污水处理车间</t>
  </si>
  <si>
    <t>吴玉才</t>
  </si>
  <si>
    <t>张林蕾</t>
  </si>
  <si>
    <t>深度处理大屋</t>
  </si>
  <si>
    <t>隐患有很好的警示意义，建议检查其他配电盒盖子有无缺失。</t>
  </si>
  <si>
    <t>√ 更换配电箱盖子
× 用绝缘材料添加临时的盒子</t>
  </si>
  <si>
    <t>安装配电箱盖子，整改完成</t>
  </si>
  <si>
    <t>碳化岗位</t>
  </si>
  <si>
    <t>划伤巡检操作工肩颈部，损工3天</t>
  </si>
  <si>
    <t>化工厂</t>
  </si>
  <si>
    <t>张春宁</t>
  </si>
  <si>
    <t>王中民</t>
  </si>
  <si>
    <t>19-6-16</t>
  </si>
  <si>
    <t>电缆架</t>
  </si>
  <si>
    <t>直线责任</t>
  </si>
  <si>
    <t>√ 将电缆桥架整理固定</t>
  </si>
  <si>
    <t>玻璃钢线缆桥架盖板固定螺栓松动脱落，已重新复位安装固定。</t>
  </si>
  <si>
    <t>精炼泵出口管线焊接</t>
  </si>
  <si>
    <t>胳膊骨折住院治疗15天，回家休养半年。</t>
  </si>
  <si>
    <t>紧急</t>
  </si>
  <si>
    <t>职业安全卫生责任制未落实</t>
  </si>
  <si>
    <t>高继国</t>
  </si>
  <si>
    <t>徐春杰</t>
  </si>
  <si>
    <t>19-7-11</t>
  </si>
  <si>
    <t>精炼岗位</t>
  </si>
  <si>
    <t>√ 安全教育，按要求佩戴使用安全带</t>
  </si>
  <si>
    <t>1名电焊工在脚手架上进行焊接作业，未佩戴安全带，不慎从脚手架上摔下来造成胳膊骨折住院治疗15天回家休养半年。</t>
  </si>
  <si>
    <t>变换岗位</t>
  </si>
  <si>
    <t>设备损坏维修费用三千元。</t>
  </si>
  <si>
    <t>刘文永</t>
  </si>
  <si>
    <t>19-7-12</t>
  </si>
  <si>
    <t>二热水塔</t>
  </si>
  <si>
    <t>√ 做好风险评估，使用可靠的钢丝绳吊装</t>
  </si>
  <si>
    <t>19-5-27</t>
  </si>
  <si>
    <t>吊车吊出设备时钢丝绳断裂，二热水塔坠落地面，砸中换热器，造成换热器损坏。</t>
  </si>
  <si>
    <t>2#站工段</t>
  </si>
  <si>
    <t>脚部骨折</t>
  </si>
  <si>
    <t>崔建东</t>
  </si>
  <si>
    <t>芬顿系统</t>
  </si>
  <si>
    <t>建议确认好护笼是否符合要求</t>
  </si>
  <si>
    <t>住院包扎治疗一星期</t>
  </si>
  <si>
    <t>杨春水</t>
  </si>
  <si>
    <t>张发堂</t>
  </si>
  <si>
    <t>19-6-13</t>
  </si>
  <si>
    <t>现场</t>
  </si>
  <si>
    <t>√ 整理线缆</t>
  </si>
  <si>
    <t>现场整改</t>
  </si>
  <si>
    <t>合成岗位</t>
  </si>
  <si>
    <t>经医务室简单包扎，立即复工。</t>
  </si>
  <si>
    <t>张海嫚</t>
  </si>
  <si>
    <t>刘正君</t>
  </si>
  <si>
    <t>液氨大槽</t>
  </si>
  <si>
    <t>审核与观察</t>
  </si>
  <si>
    <t>√ 操作时必须两人巡查，做好监护。</t>
  </si>
  <si>
    <t>操作工做好监护</t>
  </si>
  <si>
    <t>转化岗位</t>
  </si>
  <si>
    <t>造成人员擦伤，经简单包扎后立即复工。</t>
  </si>
  <si>
    <t>付新惠</t>
  </si>
  <si>
    <t>19-6-30</t>
  </si>
  <si>
    <t>循环水池</t>
  </si>
  <si>
    <t>√ 检查吊装绳有无缺陷。</t>
  </si>
  <si>
    <t>现场已整改</t>
  </si>
  <si>
    <t>脱硫岗位</t>
  </si>
  <si>
    <t>刘长军</t>
  </si>
  <si>
    <t>√ 整理平整。</t>
  </si>
  <si>
    <t>地沟盖板已整改</t>
  </si>
  <si>
    <t>空分岗位</t>
  </si>
  <si>
    <t>作业人员住院治疗1月，休息3月，损工1人。</t>
  </si>
  <si>
    <t>李金芳</t>
  </si>
  <si>
    <t>2#分馏塔</t>
  </si>
  <si>
    <t>√ 按要求，安全绳高挂低用。</t>
  </si>
  <si>
    <t>现场立即整改，要求安全绳高挂低用</t>
  </si>
  <si>
    <t>一人膝盖骨折事故，损工三个月</t>
  </si>
  <si>
    <t>刘朋</t>
  </si>
  <si>
    <t>尹万春</t>
  </si>
  <si>
    <t>转化现场</t>
  </si>
  <si>
    <t>√ 更换合格爬梯，作业时人员监护固定</t>
  </si>
  <si>
    <t>造成右小腿骨折，住院治疗7天，在家休养，损工事故</t>
  </si>
  <si>
    <t>刘珊珊</t>
  </si>
  <si>
    <t>压滤机房</t>
  </si>
  <si>
    <t>隐患很有现实意义，建议尽快进行整改。</t>
  </si>
  <si>
    <t>√ 添加护栏
√ 修改脚踏板</t>
  </si>
  <si>
    <t>整改以按照规定完成</t>
  </si>
  <si>
    <t>损坏设备</t>
  </si>
  <si>
    <t>李龙堂</t>
  </si>
  <si>
    <t>压缩岗位</t>
  </si>
  <si>
    <t>√ 加卡子固定牢固</t>
  </si>
  <si>
    <t>管线已固定完成</t>
  </si>
  <si>
    <t>踏空歪倒，脚腕受伤住院损工治疗一周、休息两周</t>
  </si>
  <si>
    <t>王献宝</t>
  </si>
  <si>
    <t>污水沟</t>
  </si>
  <si>
    <t>标准、流程</t>
  </si>
  <si>
    <t>√ 底部垫实整平</t>
  </si>
  <si>
    <t>污水沟盖板断裂，夜间光线差，1名夜班巡检人员在盖板行走，不小心踏入水沟</t>
  </si>
  <si>
    <t>液碱漏溅到上臂需休养两天</t>
  </si>
  <si>
    <t>吴秀芝</t>
  </si>
  <si>
    <t>液碱罐区</t>
  </si>
  <si>
    <t>√ 安装管道支撑。</t>
  </si>
  <si>
    <t>已经整改</t>
  </si>
  <si>
    <t>粗苯计量槽</t>
  </si>
  <si>
    <t>人员中毒昏迷，送医院抢救，住院治疗1个月。</t>
  </si>
  <si>
    <t>操作错误</t>
  </si>
  <si>
    <t>化产车间</t>
  </si>
  <si>
    <t>刘少勇</t>
  </si>
  <si>
    <t>粗苯南系统</t>
  </si>
  <si>
    <t>假设性隐患，照片没有体现人员在现场操作！隐患描述不合理，假设性隐患描述请使用“如果，假如，一旦”</t>
  </si>
  <si>
    <t>深度脱硫</t>
  </si>
  <si>
    <t>高空坠落，一人死亡。</t>
  </si>
  <si>
    <t>陶桂玲</t>
  </si>
  <si>
    <t>再生塔</t>
  </si>
  <si>
    <t>隐患描述不合理。假设性隐患描述要使用“一旦，假如，如果，”照片无法体现安全带磨损严重的情况。</t>
  </si>
  <si>
    <t>北班长室南侧管架</t>
  </si>
  <si>
    <t>人员伤害，送医院住院治疗</t>
  </si>
  <si>
    <t>刘  未</t>
  </si>
  <si>
    <t>刘永鹏</t>
  </si>
  <si>
    <t>19-7-17</t>
  </si>
  <si>
    <t>班长室南侧</t>
  </si>
  <si>
    <t>√ 停止作业施工，对作业人员进行安全培训教育。</t>
  </si>
  <si>
    <t>19-7-31</t>
  </si>
  <si>
    <t>南脱硫岗位及配电室</t>
  </si>
  <si>
    <t>有可能造成人身伤害，使人至伤，致残，致死，</t>
  </si>
  <si>
    <t>郭树鹏</t>
  </si>
  <si>
    <t>南脱硫空压机降温风扇</t>
  </si>
  <si>
    <t>隐患描述不完整，风险判断错误。</t>
  </si>
  <si>
    <t>北脱硫</t>
  </si>
  <si>
    <t>一人烫伤住院治疗一个月</t>
  </si>
  <si>
    <t>刘帅</t>
  </si>
  <si>
    <t>19-7-14</t>
  </si>
  <si>
    <t>操作室南侧</t>
  </si>
  <si>
    <t>√ 更换蒸汽软管，使用胶皮管。设立悬挂“小心烫伤”警示标识。</t>
  </si>
  <si>
    <t>19-8-3</t>
  </si>
  <si>
    <t>挤伤右脚住院治疗15天，出院休养30天。</t>
  </si>
  <si>
    <t>启动前安全审核</t>
  </si>
  <si>
    <t>√ 作业前培训稳定作业、人员保持安全距离</t>
  </si>
  <si>
    <t>19-5-28</t>
  </si>
  <si>
    <t>变换二热水塔吊装就位下落过程中，二热水塔摇摆将一名安装人员挤伤右脚。</t>
  </si>
  <si>
    <t>脚背轻微骨裂，损工15天</t>
  </si>
  <si>
    <t>王晶</t>
  </si>
  <si>
    <t>精炼大屋内</t>
  </si>
  <si>
    <t>√ 单独固定
× 运到指定位置统一存放</t>
  </si>
  <si>
    <t>3#站工段</t>
  </si>
  <si>
    <t>砸伤肩颈部，损工5天</t>
  </si>
  <si>
    <t>张娜</t>
  </si>
  <si>
    <t>刘振志</t>
  </si>
  <si>
    <t>19-8-31</t>
  </si>
  <si>
    <t>厌氧罐区域</t>
  </si>
  <si>
    <t>√ 维修更换破损的保温层</t>
  </si>
  <si>
    <t>19-9-1</t>
  </si>
  <si>
    <t>整改完成</t>
  </si>
  <si>
    <t>右小腿脚踝扭伤，损工3天</t>
  </si>
  <si>
    <t>19-6-25</t>
  </si>
  <si>
    <t>催化氧化罐区域</t>
  </si>
  <si>
    <t>√ 加装爬梯扶手。</t>
  </si>
  <si>
    <t>深度处理</t>
  </si>
  <si>
    <t>管道腐蚀，整改费用30元。</t>
  </si>
  <si>
    <t>赵英</t>
  </si>
  <si>
    <t>多介质</t>
  </si>
  <si>
    <t>√ 维修阀门，更换垫子</t>
  </si>
  <si>
    <t>整改完成，并重新做好了防腐</t>
  </si>
  <si>
    <t>西硫铵岗位及配电室</t>
  </si>
  <si>
    <t>小腿擦伤。轻微伤事件。</t>
  </si>
  <si>
    <t>刘燕</t>
  </si>
  <si>
    <t>19-7-16</t>
  </si>
  <si>
    <t>南侧地沟</t>
  </si>
  <si>
    <t>√ 使用铁板覆盖或者更换新的盖板</t>
  </si>
  <si>
    <t>手臂前端皮肤轻微烫伤，就医，涂抹药膏后复工。</t>
  </si>
  <si>
    <t>逯洪帅</t>
  </si>
  <si>
    <t>化验室</t>
  </si>
  <si>
    <t>√ 更换蒸馏装置支架。</t>
  </si>
  <si>
    <t>更换了支架，并重新固定</t>
  </si>
  <si>
    <t>北风机岗位及配电室</t>
  </si>
  <si>
    <t>脚踝擦伤、送往医院拍片无碍、修养一天</t>
  </si>
  <si>
    <t>李栋</t>
  </si>
  <si>
    <t>北风机电捕焦油器平台</t>
  </si>
  <si>
    <t>√ 维修工办理动火作业特殊票证，周边地沟，液下槽用防火布遮盖。加固断裂槽钢。
√ 作业人员佩戴好安全带。</t>
  </si>
  <si>
    <t>造成一人腿部擦伤，医务室简单处理后立即复工。</t>
  </si>
  <si>
    <t>张华和</t>
  </si>
  <si>
    <t>√ 爬梯安装警示牌</t>
  </si>
  <si>
    <t>爬梯警示牌已安装</t>
  </si>
  <si>
    <t>手臂拉伤</t>
  </si>
  <si>
    <t>深度脱硫东侧</t>
  </si>
  <si>
    <t>隐患描述完整，属于身边日常隐患。</t>
  </si>
  <si>
    <t>√ 维修班根据阀门高度，制作防护操作平台。</t>
  </si>
  <si>
    <t>19-7-20</t>
  </si>
  <si>
    <t>右脚脚踝扭伤经冷敷消肿后复工</t>
  </si>
  <si>
    <t>李娟娟</t>
  </si>
  <si>
    <t>2#站</t>
  </si>
  <si>
    <t>此项隐患应该不是深度处理岗位的，隐患分清楚区域。</t>
  </si>
  <si>
    <t>2号站</t>
  </si>
  <si>
    <t>右脚脚踝扭伤经医务室冷敷消肿后复工</t>
  </si>
  <si>
    <t>19-7-5</t>
  </si>
  <si>
    <t>清水池</t>
  </si>
  <si>
    <t>√ 维修护栏踏板</t>
  </si>
  <si>
    <t>已整改完成</t>
  </si>
  <si>
    <t>西区南北管廊</t>
  </si>
  <si>
    <t>火灾事故</t>
  </si>
  <si>
    <t>刘坤</t>
  </si>
  <si>
    <t>管廊上方电缆桥架</t>
  </si>
  <si>
    <t>隐患描述完整，照明线路破损老化属于日常隐患，排查及时，可避免较大事故发生。</t>
  </si>
  <si>
    <t>√ 电工班组织更换或者维修破损线路。办理登高作业证，专人监护，作业人员佩戴好安全带。</t>
  </si>
  <si>
    <t>吊起重物时，如果有人在附近，就有被擦伤，就医，耽误工作的风险</t>
  </si>
  <si>
    <t>南脱硫，熔硫釜操作室</t>
  </si>
  <si>
    <t>南脱硫熔硫釜操作室内行车拉线，已经停止使用。计划拆除。</t>
  </si>
  <si>
    <t>脚腕轻微扭伤，休息片刻后无碍。</t>
  </si>
  <si>
    <t>加药间清洗罐爬梯</t>
  </si>
  <si>
    <t>√ 加宽爬梯踏板
√ 增加爬梯扶手</t>
  </si>
  <si>
    <t>发生火灾，不能及时灭火，可能造成轻微的财产损失</t>
  </si>
  <si>
    <t>南侧11#消防栓</t>
  </si>
  <si>
    <t>√ 维修工更换新的消防栓</t>
  </si>
  <si>
    <t>蒸汽烫伤维修人员手臂，轻微受伤，简单处理可以继续工作。</t>
  </si>
  <si>
    <t>刘建明</t>
  </si>
  <si>
    <t>熔硫釜</t>
  </si>
  <si>
    <t>安全人员</t>
  </si>
  <si>
    <t>√ 立即整改。监护人员纠正该维修作业人员佩戴好防护手套呵护目镜</t>
  </si>
  <si>
    <t>现场监护人员，纠正作业人员佩戴好防护手套呵护目镜，消除隐患后，继续施工作业。</t>
  </si>
  <si>
    <t>两盐区域及配电室</t>
  </si>
  <si>
    <t>坠人0.5米深的地沟造成右小腿划伤。</t>
  </si>
  <si>
    <t>赵延林</t>
  </si>
  <si>
    <t>张传良</t>
  </si>
  <si>
    <t>19-7-15</t>
  </si>
  <si>
    <t>两盐门口地沟</t>
  </si>
  <si>
    <t>√ 替换或是用防滑板覆盖在破损的盖板上面</t>
  </si>
  <si>
    <t>住院治疗3个月，限工半年</t>
  </si>
  <si>
    <t>李贞涛</t>
  </si>
  <si>
    <t>刘世德</t>
  </si>
  <si>
    <t>A循环槽顶部</t>
  </si>
  <si>
    <t>√ 罐槽上方动火焊接风险较大，请维修人员用8号铁丝将开焊的护栏进行捆绑加固</t>
  </si>
  <si>
    <t>1号站</t>
  </si>
  <si>
    <t>造成右脚脚踝扭伤红肿，皮肤淤青，去医务室冷敷包扎后休假3天</t>
  </si>
  <si>
    <t>鹿敏敏</t>
  </si>
  <si>
    <t>1号站生化工段</t>
  </si>
  <si>
    <t>√ 维修护栏</t>
  </si>
  <si>
    <t>19-6-29</t>
  </si>
  <si>
    <t>腿部陷落，腿部划伤，去医务室简单处理后正常上班，未损工</t>
  </si>
  <si>
    <t>付海德</t>
  </si>
  <si>
    <t>风机1#电捕顶层平台</t>
  </si>
  <si>
    <t>√ 通知维修对1#电捕焦油器顶层平台底板，加防护板堵住孔洞。</t>
  </si>
  <si>
    <t>北风机</t>
  </si>
  <si>
    <t>人员从爬梯坠落腿部骨折，损工三个月。</t>
  </si>
  <si>
    <t>张晓雷</t>
  </si>
  <si>
    <t>孟  玉</t>
  </si>
  <si>
    <t>19-10-15</t>
  </si>
  <si>
    <t>废气回收洗涤塔</t>
  </si>
  <si>
    <t>√ 车间联系维修班，对垂直爬梯加防护笼。（按照规范标准安装）</t>
  </si>
  <si>
    <t>粗苯</t>
  </si>
  <si>
    <t>擦伤事故</t>
  </si>
  <si>
    <t>夏海美</t>
  </si>
  <si>
    <t>操作室北侧管架</t>
  </si>
  <si>
    <t>√ 办理高处作业证，操作工挂好安全带对管架上铝皮清理</t>
  </si>
  <si>
    <t>可能会造成人员脚腕扭伤或腿部创伤轻微人身伤害</t>
  </si>
  <si>
    <t>刘国强</t>
  </si>
  <si>
    <t>风机房小回流爬梯</t>
  </si>
  <si>
    <t>√ 组织维修人员在固定动火点预制好带护栏的平台后安装到阀门处</t>
  </si>
  <si>
    <t>19-8-10</t>
  </si>
  <si>
    <t>北风机西制冷机</t>
  </si>
  <si>
    <t>人员坠落，导致尾骨断裂，就医治疗，损工半年</t>
  </si>
  <si>
    <t>王彩红</t>
  </si>
  <si>
    <t>冷却水罐爬梯</t>
  </si>
  <si>
    <t>√ 悬挂安全警示标识，进一步检查爬梯护笼的安全性牢固性</t>
  </si>
  <si>
    <t>南风机岗位及配电室</t>
  </si>
  <si>
    <t>住院治疗一周，限工三个月</t>
  </si>
  <si>
    <t>张昆</t>
  </si>
  <si>
    <t>冷凝夜循环罐</t>
  </si>
  <si>
    <t>√ 通知维修班，加固制作平台安装护栏。安装照明灯，保证夜间照明视线良好。</t>
  </si>
  <si>
    <t>洗脱苯工段</t>
  </si>
  <si>
    <t>坠落后造成肩部骨折，住院治疗一月，损工三个月。</t>
  </si>
  <si>
    <t>张鹏</t>
  </si>
  <si>
    <t>富油加热框架南</t>
  </si>
  <si>
    <t>√ 立即停止作业，登高人员回到地面接受安全教育培训，落实安全措施。
× 作业现场必须有两名人员，等作业人员到达作业地点挂好安全带，用绳索将工具运到脚手架上。</t>
  </si>
  <si>
    <t>两盐岗位</t>
  </si>
  <si>
    <t>需住院治疗损工一周</t>
  </si>
  <si>
    <t>孟凡鲁</t>
  </si>
  <si>
    <t>彩钢房顶部</t>
  </si>
  <si>
    <t>√ 车间已报计划，更换腐蚀严重的彩钢瓦。
× 危险区域拉警戒线，设立警示标识。无关人员切勿靠近</t>
  </si>
  <si>
    <t>脱硫液滴入眼中造成眼部轻微灼伤，用清水清洗处理后，可继续工作</t>
  </si>
  <si>
    <t>秦顺东</t>
  </si>
  <si>
    <t>南脱硫2#脱硫塔</t>
  </si>
  <si>
    <t>√ 维修人员对漏点进行堵漏。可使用木塞，堵漏棒等
× 停塔检修，加完煤气进出口盲板，吹扫置换合格。办理动火作业证，焊补漏点。</t>
  </si>
  <si>
    <t>手部遭受电击轻微伤害，治疗修养一月。</t>
  </si>
  <si>
    <t>刘永强</t>
  </si>
  <si>
    <t>两盐真空泵</t>
  </si>
  <si>
    <t>√ 电工对真空泵电机安装接地线。</t>
  </si>
  <si>
    <t>维修班</t>
  </si>
  <si>
    <t>可能造成手部灼伤，损工一周</t>
  </si>
  <si>
    <t>刘健</t>
  </si>
  <si>
    <t>维修班西侧</t>
  </si>
  <si>
    <t>√ 电仪人员对切割机线缆加防护管</t>
  </si>
  <si>
    <t>19-9-14</t>
  </si>
  <si>
    <t>硫铵岗位，化产车间</t>
  </si>
  <si>
    <t>车间内轻微环保事故</t>
  </si>
  <si>
    <t>邢玉坤</t>
  </si>
  <si>
    <t>饱和器底部</t>
  </si>
  <si>
    <t>√ 按照计划检修饱和器，饱和器停车后吹扫置换合格。办理作业票证更换法兰和管线。</t>
  </si>
  <si>
    <t>19-8-9</t>
  </si>
  <si>
    <t>煤气取样人员轻微中毒</t>
  </si>
  <si>
    <t>其他物理性危险和有害因素</t>
  </si>
  <si>
    <t>高联名</t>
  </si>
  <si>
    <t>二号脱硫塔</t>
  </si>
  <si>
    <t>√ 取样管处设置警示牌“当心中毒”，取样时佩戴便携式煤气报警仪。
√ 维修班根据计划安排，更换成不锈钢材料的取样管。</t>
  </si>
  <si>
    <t>造成人员上臂尺骨骨裂</t>
  </si>
  <si>
    <t>负荷超限</t>
  </si>
  <si>
    <t>张海娜</t>
  </si>
  <si>
    <t>1号站预处理</t>
  </si>
  <si>
    <t>√ 添加警戒线
√ 安装夜间照明</t>
  </si>
  <si>
    <t>已经整改完成</t>
  </si>
  <si>
    <t>南脱硫</t>
  </si>
  <si>
    <t>易易产生环保事故</t>
  </si>
  <si>
    <t>李兴</t>
  </si>
  <si>
    <t>循环槽顶部</t>
  </si>
  <si>
    <t>√ 维修工使用铁丝捆绑固定管线。</t>
  </si>
  <si>
    <t>迈入坑中，脚部扭伤，限工七天。</t>
  </si>
  <si>
    <t>钱勇</t>
  </si>
  <si>
    <t>东泡沫槽积水坑</t>
  </si>
  <si>
    <t>√ 维修班制作适合尺寸的铁板，覆盖住集水坑。</t>
  </si>
  <si>
    <t>19-6-17</t>
  </si>
  <si>
    <t>轻微灼伤面部，清水冲洗。人员可以继续上班。</t>
  </si>
  <si>
    <t>一楼蒸汽阀门</t>
  </si>
  <si>
    <t>√ 作业人员牌带护目镜，防护面罩等劳保用品进行更换垫子。</t>
  </si>
  <si>
    <t>北化产综合供水凉水架</t>
  </si>
  <si>
    <t>造成巡检人员轻微摔伤</t>
  </si>
  <si>
    <t>李岩</t>
  </si>
  <si>
    <t>凉水架顶部</t>
  </si>
  <si>
    <t>√ 维修班组织人员使用水泥对破损地面坑洞，进行修复。</t>
  </si>
  <si>
    <t>19-6-18</t>
  </si>
  <si>
    <t>废料堆</t>
  </si>
  <si>
    <t>作业人员被吊件轻微擦伤</t>
  </si>
  <si>
    <t>指挥错误</t>
  </si>
  <si>
    <t>张振</t>
  </si>
  <si>
    <t>废旧管材库</t>
  </si>
  <si>
    <t>√ 吊装现场无关人员禁止靠近，吊装半径距离外设立警戒线。</t>
  </si>
  <si>
    <t>20-1-15</t>
  </si>
  <si>
    <t>备煤东线岗位及配电室</t>
  </si>
  <si>
    <t>人员脚踝扭伤，误工两天。</t>
  </si>
  <si>
    <t>备煤车间</t>
  </si>
  <si>
    <t>赵明</t>
  </si>
  <si>
    <t>点名室北空场</t>
  </si>
  <si>
    <t>√ 拉上警戒线，防止人员误入。</t>
  </si>
  <si>
    <t>警戒线拉上已完成</t>
  </si>
  <si>
    <t>轻微煤气中毒</t>
  </si>
  <si>
    <t>饱和器大母液泵喷洒</t>
  </si>
  <si>
    <t>提报人登录错误账号。</t>
  </si>
  <si>
    <t>隐患提报人登录错误账号。</t>
  </si>
  <si>
    <t>黄兆华</t>
  </si>
  <si>
    <t>19-7-18</t>
  </si>
  <si>
    <t>√ 喷洒管法兰未上紧，维修人员佩戴便携式气体报警仪，戴好防毒口罩，使用铜制扳手加固螺栓。</t>
  </si>
  <si>
    <t>19-10-7</t>
  </si>
  <si>
    <t>备煤西线岗位及配电室</t>
  </si>
  <si>
    <t>手蹭伤</t>
  </si>
  <si>
    <t>刘清峰</t>
  </si>
  <si>
    <t>西五</t>
  </si>
  <si>
    <t>工艺安全分析</t>
  </si>
  <si>
    <t>√ 做好安全防护，戴安全手套</t>
  </si>
  <si>
    <t>19-6-19</t>
  </si>
  <si>
    <t>做好安全防护，戴安全手套</t>
  </si>
  <si>
    <t>备煤煤线岗位及配电室</t>
  </si>
  <si>
    <t>加水时意外摔伤</t>
  </si>
  <si>
    <t>刘艳芹</t>
  </si>
  <si>
    <t>√ 对护栏进行焊补加固</t>
  </si>
  <si>
    <t>南化产风机岗位</t>
  </si>
  <si>
    <t>造成轻伤事故，住院疗养一个月，误工一个月，</t>
  </si>
  <si>
    <t>事故分析</t>
  </si>
  <si>
    <t>刘伟</t>
  </si>
  <si>
    <t>风机房</t>
  </si>
  <si>
    <t>√ 联系生产管理处，更换风机房外侧彩钢瓦。
√ 办理登高作业证，清除松动的彩钢瓦。</t>
  </si>
  <si>
    <t>19-7-9</t>
  </si>
  <si>
    <t>人员摔伤，误工两天。</t>
  </si>
  <si>
    <t>西硫铵冷凝液泵</t>
  </si>
  <si>
    <t>√ 安装引水管，把积水引导低位槽内
× 每班一小时清理盛水桶，清扫地面积水</t>
  </si>
  <si>
    <t>20-1-14</t>
  </si>
  <si>
    <t>一人触电死亡</t>
  </si>
  <si>
    <t>李爱玲</t>
  </si>
  <si>
    <t>老凉水架南侧</t>
  </si>
  <si>
    <t>√ 机电班对开关进行安装防雨设置。</t>
  </si>
  <si>
    <t>被预埋铁件绊倒，造成膝盖擦伤，误工1天。</t>
  </si>
  <si>
    <t>冯永福</t>
  </si>
  <si>
    <t>西四胶带机</t>
  </si>
  <si>
    <t>√ 维修班割除预埋铁件并用水泥抹平地面。</t>
  </si>
  <si>
    <t>已清除，并用水泥抹平。</t>
  </si>
  <si>
    <t>掉落划伤职工背部，误工两天。</t>
  </si>
  <si>
    <t>谢同海</t>
  </si>
  <si>
    <t>西一通廊东侧</t>
  </si>
  <si>
    <t>√ 维修负责固定。</t>
  </si>
  <si>
    <t>已按规定要求固定。</t>
  </si>
  <si>
    <t>人员跌落，造成跌伤</t>
  </si>
  <si>
    <t>王李伟</t>
  </si>
  <si>
    <t>19-7-19</t>
  </si>
  <si>
    <t>西五下料筒投料平台</t>
  </si>
  <si>
    <t>√ 对护栏进行焊接</t>
  </si>
  <si>
    <t>护栏焊接完成，消除了隐患</t>
  </si>
  <si>
    <t>上下爬梯失足滑倒扭伤</t>
  </si>
  <si>
    <t>刘洪明</t>
  </si>
  <si>
    <t>东七机头</t>
  </si>
  <si>
    <t>√ 按装警示牌</t>
  </si>
  <si>
    <t>警示牌已安装，隐患消除</t>
  </si>
  <si>
    <t>脚部受伤，误工两天。</t>
  </si>
  <si>
    <t>刘锡玉</t>
  </si>
  <si>
    <t>西五岗位</t>
  </si>
  <si>
    <t>√ 地面抹平</t>
  </si>
  <si>
    <t>地面已用水泥抹平。</t>
  </si>
  <si>
    <t>因触电造成人员右手灼伤，损工三天</t>
  </si>
  <si>
    <t>专项检查</t>
  </si>
  <si>
    <t>刘冲</t>
  </si>
  <si>
    <t>车间点名室前</t>
  </si>
  <si>
    <t>电焊机外壳做好接地。</t>
  </si>
  <si>
    <t>损工三天</t>
  </si>
  <si>
    <t>杨春鹏</t>
  </si>
  <si>
    <t>19-7-24</t>
  </si>
  <si>
    <t>煤五后尾</t>
  </si>
  <si>
    <t>√ 焊接护栏，保证牢固可靠。
× 悬挂警示牌</t>
  </si>
  <si>
    <t>19-6-27</t>
  </si>
  <si>
    <t>因手臂挤伤，造成损工4个月</t>
  </si>
  <si>
    <t>张冬梅</t>
  </si>
  <si>
    <t>焦渣掺配处</t>
  </si>
  <si>
    <t>√ 齿轮加防护罩。
× 未整改之前挂警示牌</t>
  </si>
  <si>
    <t>19-8-1</t>
  </si>
  <si>
    <t>搅拌机护罩已经安装，达到整改要求</t>
  </si>
  <si>
    <t>手臂划伤，损工三天</t>
  </si>
  <si>
    <t>张立德</t>
  </si>
  <si>
    <t>1618破碎机</t>
  </si>
  <si>
    <t>√ 联系维修修补。</t>
  </si>
  <si>
    <t>因烧伤腿部，造成人员损工30天</t>
  </si>
  <si>
    <t>李晓楠</t>
  </si>
  <si>
    <t>点名室东侧</t>
  </si>
  <si>
    <t>√ 各类线路理顺整齐有序，
× 电焊机线连接处加套管。</t>
  </si>
  <si>
    <t>现场已经整改</t>
  </si>
  <si>
    <t>因电灼伤在家休养3天，造成损工3天</t>
  </si>
  <si>
    <t>于海霞</t>
  </si>
  <si>
    <t>煤十</t>
  </si>
  <si>
    <t>√ 联系电工更换。</t>
  </si>
  <si>
    <t>锅炉及发电装置</t>
  </si>
  <si>
    <t>巡检工左小腿骨折住院治疗损工三个月</t>
  </si>
  <si>
    <t>热力车间</t>
  </si>
  <si>
    <t>于连成</t>
  </si>
  <si>
    <t>35T锅炉零米</t>
  </si>
  <si>
    <t>√ 重新制作完整的盖板覆盖好
√ 盖板铺设平整，防止人员绊倒</t>
  </si>
  <si>
    <t>19-9-15</t>
  </si>
  <si>
    <t>地沟盖板损坏且缝隙较大，割厚8毫米铁板覆盖损坏地沟盖板。</t>
  </si>
  <si>
    <t>5.5米脱硫脱硝</t>
  </si>
  <si>
    <t>送医治疗休养3天，一人损工事件</t>
  </si>
  <si>
    <t>安全环保处</t>
  </si>
  <si>
    <t>王玉辉</t>
  </si>
  <si>
    <t>19-7-27</t>
  </si>
  <si>
    <t>因汽轮机安装，现场监控线路等处于调试阶段，电缆沟盖板近期需经常掀开，应加强现场施工管理。</t>
  </si>
  <si>
    <t>√ 及时恢复临时盖板，保障现场安全。
√ 待现场安装、调试完成，盖板按照规范进行电缆沟覆盖</t>
  </si>
  <si>
    <t>腿部受伤，误工两天。</t>
  </si>
  <si>
    <t>刘顺</t>
  </si>
  <si>
    <t>钱照吉</t>
  </si>
  <si>
    <t>19-7-25</t>
  </si>
  <si>
    <t>201配电室东侧</t>
  </si>
  <si>
    <t>√ 将此处排水沟盖板紧密排好，不能有间隙。</t>
  </si>
  <si>
    <t>眼部受伤，误工两天。</t>
  </si>
  <si>
    <t>高彦兵</t>
  </si>
  <si>
    <t>10#煤气水封</t>
  </si>
  <si>
    <t>√ 严格按劳保着装，巡视煤气水封必须佩戴护目镜。</t>
  </si>
  <si>
    <t>合成系统停车</t>
  </si>
  <si>
    <t>张召山</t>
  </si>
  <si>
    <t>19-8-30</t>
  </si>
  <si>
    <t>合成余热回收器</t>
  </si>
  <si>
    <t>√ 将裸露管线进行保温</t>
  </si>
  <si>
    <t>19-9-24</t>
  </si>
  <si>
    <t>已提报相关部门，准备保温。</t>
  </si>
  <si>
    <t>碳铵周转库</t>
  </si>
  <si>
    <t>超速行驶易伤及过往职工，造成人员人身伤害、造成限工、损工事故</t>
  </si>
  <si>
    <t>标志缺陷</t>
  </si>
  <si>
    <t>刘欣伟</t>
  </si>
  <si>
    <t>19-8-6</t>
  </si>
  <si>
    <t>碳铵周转库西门口</t>
  </si>
  <si>
    <t>√ 赵伟制作警示牌，悬挂在西门口</t>
  </si>
  <si>
    <t>19-8-16</t>
  </si>
  <si>
    <t>一套设备停运</t>
  </si>
  <si>
    <t>丁杰</t>
  </si>
  <si>
    <t>刘国成</t>
  </si>
  <si>
    <t>小煤场入口处</t>
  </si>
  <si>
    <t>√ 悬挂限高牌</t>
  </si>
  <si>
    <t>19-7-7</t>
  </si>
  <si>
    <t>已安规定要求整改</t>
  </si>
  <si>
    <t>20-2-20</t>
  </si>
  <si>
    <t>人员摔倒，手部擦伤</t>
  </si>
  <si>
    <t>刘萌</t>
  </si>
  <si>
    <t>21-4-20</t>
  </si>
  <si>
    <t>环境除尘放灰平台</t>
  </si>
  <si>
    <t>安全意识较强，能在习以为常的环境中中发现潜在隐患。</t>
  </si>
  <si>
    <t>√ 悬挂警示标志，提醒人员注意安全。
√ 根据生产运行情况，择机对管线进行更改，防止阻碍通行路线。</t>
  </si>
  <si>
    <t>20-6-9</t>
  </si>
  <si>
    <t>已设置护栏，禁止从此处通行。</t>
  </si>
  <si>
    <t>20-4-20</t>
  </si>
  <si>
    <t>南化产</t>
  </si>
  <si>
    <t>职工触电 脚部擦伤 无损工</t>
  </si>
  <si>
    <t>周建伟</t>
  </si>
  <si>
    <t>20-5-20</t>
  </si>
  <si>
    <t>循环水</t>
  </si>
  <si>
    <t>√ 更换接线端子</t>
  </si>
  <si>
    <t>20-6-29</t>
  </si>
  <si>
    <t>20-4-18</t>
  </si>
  <si>
    <t>汽轮机</t>
  </si>
  <si>
    <t>刘丽丽</t>
  </si>
  <si>
    <t>20-5-21</t>
  </si>
  <si>
    <t>汽轮机零米</t>
  </si>
  <si>
    <t>漏电触电事故是我们此类生产企业易发事故，注意到并及时整改隐患才能避免</t>
  </si>
  <si>
    <t>√ 对电缆进行套管保护，防止绝缘破损漏电</t>
  </si>
  <si>
    <t>20-6-30</t>
  </si>
  <si>
    <t>对电缆进行套管保护</t>
  </si>
  <si>
    <t>干熄焦</t>
  </si>
  <si>
    <t>一人死亡</t>
  </si>
  <si>
    <t>董孝文</t>
  </si>
  <si>
    <t>5.5米提升井四层西</t>
  </si>
  <si>
    <t>安全意识较强巡检时能发现存在的安全隐患。</t>
  </si>
  <si>
    <t>√ 联系维修立即焊接加固</t>
  </si>
  <si>
    <t>护栏加固</t>
  </si>
  <si>
    <t>化产车间西硫铵</t>
  </si>
  <si>
    <t>人员后背被烫伤，损工两周。</t>
  </si>
  <si>
    <t>乔玉杰</t>
  </si>
  <si>
    <t>西硫铵二楼东侧南窗外</t>
  </si>
  <si>
    <t>√ 更换阀门</t>
  </si>
  <si>
    <t>20-6-6</t>
  </si>
  <si>
    <t>操作工右腿划伤，损工3天。</t>
  </si>
  <si>
    <t>20-5-22</t>
  </si>
  <si>
    <t>循环水凉水塔顶平台</t>
  </si>
  <si>
    <t>√ 安装照明灯</t>
  </si>
  <si>
    <t>20-6-13</t>
  </si>
  <si>
    <t>20-4-21</t>
  </si>
  <si>
    <t>操作工腿部划伤，损工三天</t>
  </si>
  <si>
    <t>出料泵</t>
  </si>
  <si>
    <t>√ 更换防护罩</t>
  </si>
  <si>
    <t>20-4-26</t>
  </si>
  <si>
    <t>一操作工右侧锁骨骨折，损工105天。</t>
  </si>
  <si>
    <t>李祥村</t>
  </si>
  <si>
    <t>20-7-16</t>
  </si>
  <si>
    <t>√ 责令岗位人员工具使用后，放在指定位置摆放！</t>
  </si>
  <si>
    <t>20-6-18</t>
  </si>
  <si>
    <t>塌陷踩空，腿部肌肉挫伤，损工三天。</t>
  </si>
  <si>
    <t>20-5-29</t>
  </si>
  <si>
    <t>西硫铵南地沟</t>
  </si>
  <si>
    <t>√ 更换加固盖板</t>
  </si>
  <si>
    <t>污水2#站</t>
  </si>
  <si>
    <t>污水泄露腐蚀地面，经过三小时处理干净，未造成太大影响</t>
  </si>
  <si>
    <t>化学性危险和有害因素</t>
  </si>
  <si>
    <t>20-5-28</t>
  </si>
  <si>
    <t>情景描述中应该包括完整后果描述，不要分成两部分</t>
  </si>
  <si>
    <t>质量保证</t>
  </si>
  <si>
    <t>√ 维修更换管道</t>
  </si>
  <si>
    <t>20-6-25</t>
  </si>
  <si>
    <t>管道更换完成</t>
  </si>
  <si>
    <t>20-4-29</t>
  </si>
  <si>
    <t>肩胛骨骨折，损工两个月</t>
  </si>
  <si>
    <t>张迎华</t>
  </si>
  <si>
    <t>电捕水封槽</t>
  </si>
  <si>
    <t>√ 加固支撑</t>
  </si>
  <si>
    <t>右腿膝盖软组织挫伤，无损工事故</t>
  </si>
  <si>
    <t>20-6-4</t>
  </si>
  <si>
    <t>√ 清理现场</t>
  </si>
  <si>
    <t>现场杂物清理干净</t>
  </si>
  <si>
    <t>20-4-30</t>
  </si>
  <si>
    <t>浓水处理装置</t>
  </si>
  <si>
    <t>一人损工事件</t>
  </si>
  <si>
    <t>√ 添加防护半面罩</t>
  </si>
  <si>
    <t>20-5-30</t>
  </si>
  <si>
    <t>污水处理车间深度处理</t>
  </si>
  <si>
    <t>深度处理东侧水池</t>
  </si>
  <si>
    <t>√ 按规定要求架设电缆线</t>
  </si>
  <si>
    <t>电缆线已经撤除</t>
  </si>
  <si>
    <t>20-5-5</t>
  </si>
  <si>
    <t>5.5米筛焦楼</t>
  </si>
  <si>
    <t>操作工腿部砸伤骨折，造成损工6个月。</t>
  </si>
  <si>
    <t>赵培刚</t>
  </si>
  <si>
    <t>20-6-7</t>
  </si>
  <si>
    <t>筛焦楼振动筛北侧</t>
  </si>
  <si>
    <t>√ 材料规范放置
√ 人员通行保持距离</t>
  </si>
  <si>
    <t>20-6-8</t>
  </si>
  <si>
    <t>已由热修人员整理完成</t>
  </si>
  <si>
    <t>20-5-6</t>
  </si>
  <si>
    <t>化产车间南脱硫</t>
  </si>
  <si>
    <t>一人触电，住院一个月，休养一个月，损工61天。</t>
  </si>
  <si>
    <t>南脱硫溶液缓冲槽</t>
  </si>
  <si>
    <t>√ 规范接线，重新加固穿线管</t>
  </si>
  <si>
    <t>20-6-19</t>
  </si>
  <si>
    <t>20-5-10</t>
  </si>
  <si>
    <t>南风机</t>
  </si>
  <si>
    <t>巡检人员肩部轻微擦伤，简单处理后复工，不影响生产</t>
  </si>
  <si>
    <t>党传清</t>
  </si>
  <si>
    <t>20-6-11</t>
  </si>
  <si>
    <t>水封槽顶部</t>
  </si>
  <si>
    <t>√ 加固腐蚀支架</t>
  </si>
  <si>
    <t>两盐</t>
  </si>
  <si>
    <t>操作工被大风刮落的铁皮擦伤面部，未影响正常工作。</t>
  </si>
  <si>
    <t>北大门</t>
  </si>
  <si>
    <t>√ 更换挡雨板</t>
  </si>
  <si>
    <t>20-6-27</t>
  </si>
  <si>
    <t>20-5-11</t>
  </si>
  <si>
    <t>风机初冷器</t>
  </si>
  <si>
    <t>施工人员腿部骨折，住院治疗半个月。</t>
  </si>
  <si>
    <t>20-6-15</t>
  </si>
  <si>
    <t>2号初冷器</t>
  </si>
  <si>
    <t>√ 悬挂安全带，规范使用</t>
  </si>
  <si>
    <t>5米5焦炉</t>
  </si>
  <si>
    <t>脚踝扭伤，就医修养七天。</t>
  </si>
  <si>
    <t>待整改</t>
  </si>
  <si>
    <t>刘清磊</t>
  </si>
  <si>
    <t>20-8-10</t>
  </si>
  <si>
    <t>机侧除尘提升机爬梯</t>
  </si>
  <si>
    <t>× 加强护栏爬梯维护
× 及时维修处理</t>
  </si>
  <si>
    <t>20-5-18</t>
  </si>
  <si>
    <t>脚踝扭伤，修养三天。</t>
  </si>
  <si>
    <t>梁占平</t>
  </si>
  <si>
    <t>√ 添加盖板</t>
  </si>
  <si>
    <t>化产车间北脱硫</t>
  </si>
  <si>
    <t>一人背部划伤送医处理后休息两天复工。</t>
  </si>
  <si>
    <t>高德钦</t>
  </si>
  <si>
    <t>20-6-21</t>
  </si>
  <si>
    <t>卸酸碱槽棚顶</t>
  </si>
  <si>
    <t>√ 加固脱落的彩钢瓦</t>
  </si>
  <si>
    <t>20-6-24</t>
  </si>
  <si>
    <t>20-5-19</t>
  </si>
  <si>
    <t>污水处理预处理</t>
  </si>
  <si>
    <t>右手臂骨折，右脚踝脱臼，送至医院救治住院20天在家修养3个月</t>
  </si>
  <si>
    <t>20-6-22</t>
  </si>
  <si>
    <t>预处理混合池</t>
  </si>
  <si>
    <t>右手腕骨折住院治疗三个月</t>
  </si>
  <si>
    <t>于刚华</t>
  </si>
  <si>
    <t>生化</t>
  </si>
  <si>
    <t>√ 恢复盖板</t>
  </si>
  <si>
    <t>盐酸阻尼器腐蚀外漏喷溅，导致巡检人员左脸轻度灼伤</t>
  </si>
  <si>
    <t>滕秀河</t>
  </si>
  <si>
    <t>中水加药装置</t>
  </si>
  <si>
    <t>√ 更换阻尼器</t>
  </si>
  <si>
    <t>汽机循环水泵南</t>
  </si>
  <si>
    <t>造成右手骨折，在医院治疗三个月，限工三个月。</t>
  </si>
  <si>
    <t>王帅</t>
  </si>
  <si>
    <t>20-7-4</t>
  </si>
  <si>
    <t>循环水泵南</t>
  </si>
  <si>
    <t>√ 按装过桥
√ 警示提示</t>
  </si>
  <si>
    <t>20-7-14</t>
  </si>
  <si>
    <t>颈部挫伤，损工3天</t>
  </si>
  <si>
    <t>20-5-24</t>
  </si>
  <si>
    <t>东一过桥</t>
  </si>
  <si>
    <t>√ 在此处设警示牌。</t>
  </si>
  <si>
    <t>20-6-1</t>
  </si>
  <si>
    <t>化产车间粗苯</t>
  </si>
  <si>
    <t>一名操作工被坠落的电缆桥架盖板砸伤头部，未影响正常工作。</t>
  </si>
  <si>
    <t>粗苯管式炉东侧</t>
  </si>
  <si>
    <t>√ 加固线缆桥架盖板</t>
  </si>
  <si>
    <t>西硫铵</t>
  </si>
  <si>
    <t>砸中操作工左肩，诊断为左肩轻微骨折，在家休养7天，损工7天。</t>
  </si>
  <si>
    <t>夏园园</t>
  </si>
  <si>
    <t>西硫铵东花砖路管架</t>
  </si>
  <si>
    <t>√ 清除框架铁管</t>
  </si>
  <si>
    <t>20-6-5</t>
  </si>
  <si>
    <t>20-5-26</t>
  </si>
  <si>
    <t>造成手部轻微划伤，医务室处理后正常上班。</t>
  </si>
  <si>
    <t>付洪国</t>
  </si>
  <si>
    <t>20-6-28</t>
  </si>
  <si>
    <t>2#脱硫塔水封蒸汽管</t>
  </si>
  <si>
    <t>√ 更换开裂铝皮</t>
  </si>
  <si>
    <t>锅炉</t>
  </si>
  <si>
    <t>住院治疗，损工一个月</t>
  </si>
  <si>
    <t>曹建</t>
  </si>
  <si>
    <t>20-7-13</t>
  </si>
  <si>
    <t>75吨锅炉煤仓</t>
  </si>
  <si>
    <t>√ 制作按装护栏</t>
  </si>
  <si>
    <t>休息一个月，损工30天</t>
  </si>
  <si>
    <t>刘凤春</t>
  </si>
  <si>
    <t>生化池护栏</t>
  </si>
  <si>
    <t>左腿骨折，损工105天</t>
  </si>
  <si>
    <t>戴立军</t>
  </si>
  <si>
    <t>缺氧池北侧</t>
  </si>
  <si>
    <t>√ 更换盖板</t>
  </si>
  <si>
    <t>化学水</t>
  </si>
  <si>
    <t>住院治疗一个月误工三个月</t>
  </si>
  <si>
    <t>董丽霞</t>
  </si>
  <si>
    <t>√ 更换活节垫</t>
  </si>
  <si>
    <t>絮凝剂出口活节垫子损坏倒至漏液。</t>
  </si>
  <si>
    <t>化产车间北循环水</t>
  </si>
  <si>
    <t>一名操作工左臂轻微伤，简单包扎后复工</t>
  </si>
  <si>
    <t>刘晓杰</t>
  </si>
  <si>
    <t>√ 清除管架漆桶</t>
  </si>
  <si>
    <t>20-6-10</t>
  </si>
  <si>
    <t>20-5-27</t>
  </si>
  <si>
    <t>35t锅炉</t>
  </si>
  <si>
    <t>可能造成皮外伤，骨折</t>
  </si>
  <si>
    <t>郑志田</t>
  </si>
  <si>
    <t>锅炉⑤楼顶</t>
  </si>
  <si>
    <t>√ 按装防护栏</t>
  </si>
  <si>
    <t>制作防护栏遮将检查孔。</t>
  </si>
  <si>
    <t>化产车间南脱硫岗位</t>
  </si>
  <si>
    <t>可能造成一名操作工手臂划伤，住院治疗一周后复工。</t>
  </si>
  <si>
    <t>唐炳涛</t>
  </si>
  <si>
    <t>循环泵</t>
  </si>
  <si>
    <t>√ 清除杂物</t>
  </si>
  <si>
    <t>盐酸液外溅，维修人员右眼轻度灼伤</t>
  </si>
  <si>
    <t>加药间</t>
  </si>
  <si>
    <t>现场立即整改</t>
  </si>
  <si>
    <t>√ 加强人员培训，提高安全意识</t>
  </si>
  <si>
    <t>能造成设备损坏，短路停电，电器着火</t>
  </si>
  <si>
    <t>刘新才</t>
  </si>
  <si>
    <t>20-7-29</t>
  </si>
  <si>
    <t>工业泵房</t>
  </si>
  <si>
    <t>× 更换处理接触器
× 加强电气巡检</t>
  </si>
  <si>
    <t>化产车间深度脱硫</t>
  </si>
  <si>
    <t>砸伤右肩，造成局部红肿，简单处理后不影响正常工作</t>
  </si>
  <si>
    <t>王海国</t>
  </si>
  <si>
    <t>20-7-1</t>
  </si>
  <si>
    <t>深度脱硫二层平台</t>
  </si>
  <si>
    <t>√ 加固彩钢瓦</t>
  </si>
  <si>
    <t>一员工右小腿骨折，损工110天</t>
  </si>
  <si>
    <t>赵伟</t>
  </si>
  <si>
    <t>3#煤场</t>
  </si>
  <si>
    <t>√ 尽快将裸露于地面的钢筋割除</t>
  </si>
  <si>
    <t>左手掌皮肤挫伤</t>
  </si>
  <si>
    <t>杨小军</t>
  </si>
  <si>
    <t>破碎机平面</t>
  </si>
  <si>
    <t>√ 按照规定将其收纳于倒链盒内。</t>
  </si>
  <si>
    <t>一员工下颌受伤，损工10天。</t>
  </si>
  <si>
    <t>赵延朋</t>
  </si>
  <si>
    <t>√ 刮板使用完后要及时复位。</t>
  </si>
  <si>
    <t>硫铵</t>
  </si>
  <si>
    <t>蒸汽烫伤，经过处理不影响工作</t>
  </si>
  <si>
    <t>张广顺</t>
  </si>
  <si>
    <t>4楼</t>
  </si>
  <si>
    <t>√ 焊补漏点</t>
  </si>
  <si>
    <t>设备停运3小时，少处理12方水</t>
  </si>
  <si>
    <t>崔艳艳</t>
  </si>
  <si>
    <t>污水反渗透浓水</t>
  </si>
  <si>
    <t>√ 管道按装固定卡</t>
  </si>
  <si>
    <t>浓水返渗透pvc管道用钢卡固定</t>
  </si>
  <si>
    <t>一人左肩部轻微擦伤不影响正常工作</t>
  </si>
  <si>
    <t>庞兴太</t>
  </si>
  <si>
    <t>南脱硫预冷塔</t>
  </si>
  <si>
    <t>√ 清除框架铝皮</t>
  </si>
  <si>
    <t>20-6-14</t>
  </si>
  <si>
    <t>一员工手部烫伤，损工七天</t>
  </si>
  <si>
    <t>田震</t>
  </si>
  <si>
    <t>热力西区</t>
  </si>
  <si>
    <t>√ 挂警示牌</t>
  </si>
  <si>
    <t>20-6-20</t>
  </si>
  <si>
    <t>一名操作工全身轻度烧伤，损工一个月</t>
  </si>
  <si>
    <t>√ 清走报警器处杂物</t>
  </si>
  <si>
    <t>清走报警器处杂物</t>
  </si>
  <si>
    <t>一人手腕骨折，损工45天。</t>
  </si>
  <si>
    <t>丁曰海</t>
  </si>
  <si>
    <t>√ 将钢筋裸露地面部分割除</t>
  </si>
  <si>
    <t>一人轻微伤害。</t>
  </si>
  <si>
    <t>张志军</t>
  </si>
  <si>
    <t>煤场2#门西侧水沟</t>
  </si>
  <si>
    <t>√ 尽快将缺失部位用盖板覆盖</t>
  </si>
  <si>
    <t>20-5-31</t>
  </si>
  <si>
    <t>一名操作工后颈部划伤，送医院缝合治疗一周，损工一月！</t>
  </si>
  <si>
    <t>20-7-6</t>
  </si>
  <si>
    <t>北管式炉</t>
  </si>
  <si>
    <t>√ 加固线缆盖板</t>
  </si>
  <si>
    <t>污水处理车间2#站</t>
  </si>
  <si>
    <t>造成地面腐蚀，环境污染</t>
  </si>
  <si>
    <t>周玉亮</t>
  </si>
  <si>
    <t>情景描述需要进一步完整，不要和后果分开</t>
  </si>
  <si>
    <t>√ 维修漏点</t>
  </si>
  <si>
    <t>操作人员小腿摔伤骨折，入院治疗三个月，损工半年</t>
  </si>
  <si>
    <t>刘建萍</t>
  </si>
  <si>
    <t>20-7-24</t>
  </si>
  <si>
    <t>管式炉水封槽</t>
  </si>
  <si>
    <t>√ 及时覆盖盖板</t>
  </si>
  <si>
    <t>皮带磨损大，撕裂皮带，造成停产和财产损失</t>
  </si>
  <si>
    <t>范波</t>
  </si>
  <si>
    <t>√ 更换托辊
√ 及时发现隐患及时整改</t>
  </si>
  <si>
    <t>该操作工被钢管砸到头部当场死亡</t>
  </si>
  <si>
    <t>任成华</t>
  </si>
  <si>
    <t>粗苯东管道架</t>
  </si>
  <si>
    <t>√ 立即清除框架上铁管</t>
  </si>
  <si>
    <t>外部检查</t>
  </si>
  <si>
    <t>单静</t>
  </si>
  <si>
    <t>煤九外部平台</t>
  </si>
  <si>
    <t>√ 维修焊补开焊处
√ 人员经高处时，注意避开，保持距离</t>
  </si>
  <si>
    <t>20-6-2</t>
  </si>
  <si>
    <t>一名巡检工手臂骨折，损工三个月</t>
  </si>
  <si>
    <t>赵建军</t>
  </si>
  <si>
    <t>35 吨炉体</t>
  </si>
  <si>
    <t>√ 护栏整形加固焊接</t>
  </si>
  <si>
    <t>污水处理1站生化工段</t>
  </si>
  <si>
    <t>左脚脚踝骨折，住院治疗10天，损工71天</t>
  </si>
  <si>
    <t>张彩红</t>
  </si>
  <si>
    <t>1#站生化工段</t>
  </si>
  <si>
    <t>√ 添加警戒线
√ 修复地面</t>
  </si>
  <si>
    <t>20-6-17</t>
  </si>
  <si>
    <t>灭火器底座损坏</t>
  </si>
  <si>
    <t>预冷塔东侧</t>
  </si>
  <si>
    <t>× 加固消防箱底座</t>
  </si>
  <si>
    <t>一人头部轻伤</t>
  </si>
  <si>
    <t>于凤江</t>
  </si>
  <si>
    <t>西三</t>
  </si>
  <si>
    <t>√ 严格按照规定，将使用完的工具放于工具存放处。</t>
  </si>
  <si>
    <t>20-6-12</t>
  </si>
  <si>
    <t>装置非计划停车</t>
  </si>
  <si>
    <t>单清燕</t>
  </si>
  <si>
    <t>西四</t>
  </si>
  <si>
    <t>√ 通过尽快调整，消除偏带现象，使其恢复正常运行。</t>
  </si>
  <si>
    <t>西区配电室楼顶</t>
  </si>
  <si>
    <t>造成设备损坏</t>
  </si>
  <si>
    <t>待核查</t>
  </si>
  <si>
    <t>郝德志</t>
  </si>
  <si>
    <t>配电室楼顶</t>
  </si>
  <si>
    <t>热力东区</t>
  </si>
  <si>
    <t>造成设备损坏，影响生产</t>
  </si>
  <si>
    <t>于健</t>
  </si>
  <si>
    <t>35kv控制室楼顶</t>
  </si>
  <si>
    <t>√ 焊补避雷网
√ 加强日常巡查</t>
  </si>
  <si>
    <t>一操作人员右脚脚骨骨折，损工107天。</t>
  </si>
  <si>
    <t>王琳</t>
  </si>
  <si>
    <t>东一西侧</t>
  </si>
  <si>
    <t>√ 更换新的盖板
√ 人员经过时注意脚下安全</t>
  </si>
  <si>
    <t>20-6-3</t>
  </si>
  <si>
    <t>深度处理装置停车</t>
  </si>
  <si>
    <t>√ 更换接线</t>
  </si>
  <si>
    <t>化产车间南冷凝</t>
  </si>
  <si>
    <t>一人损工</t>
  </si>
  <si>
    <t>于秋菊</t>
  </si>
  <si>
    <t>南冷凝泵房</t>
  </si>
  <si>
    <t>√ 粘补漏点</t>
  </si>
  <si>
    <t>右小腿受伤，损工五天。</t>
  </si>
  <si>
    <t>西煤场</t>
  </si>
  <si>
    <t>√ 将地面裸露部分钢筋尽快割除。</t>
  </si>
  <si>
    <t>5米5筛焦楼</t>
  </si>
  <si>
    <t>送医后经抢救无效死亡</t>
  </si>
  <si>
    <t>杨延安</t>
  </si>
  <si>
    <t>下料口</t>
  </si>
  <si>
    <t>× 更换盖板
× 保持安全距离</t>
  </si>
  <si>
    <t>5.5米干熄车</t>
  </si>
  <si>
    <t>一维修工腰部骨折，损工七个月。</t>
  </si>
  <si>
    <t>刘少奎</t>
  </si>
  <si>
    <t>水熄车</t>
  </si>
  <si>
    <t>× 维修爬梯
× 及时修复</t>
  </si>
  <si>
    <t>划伤皮带</t>
  </si>
  <si>
    <t>郝效蓉</t>
  </si>
  <si>
    <t>西四岗位</t>
  </si>
  <si>
    <t>√ 安装铁销
√ 人员操作时注意安全</t>
  </si>
  <si>
    <t>炼焦车间焦四机头</t>
  </si>
  <si>
    <t>失去右臂并且失去了工作能力</t>
  </si>
  <si>
    <t>刘经洪</t>
  </si>
  <si>
    <t>焦四机头</t>
  </si>
  <si>
    <t>× 增加护罩
× 注意维护作业必须停止后进行</t>
  </si>
  <si>
    <t>人体伤害严重，以后工作生活造成很大影响。</t>
  </si>
  <si>
    <t>张洪波</t>
  </si>
  <si>
    <t>焦四后尾</t>
  </si>
  <si>
    <t>后果描述不够恰当</t>
  </si>
  <si>
    <t>× 恢复护栏
× 维护时停带</t>
  </si>
  <si>
    <t>膝盖与手部轻微磕伤无损工</t>
  </si>
  <si>
    <t>刘建平</t>
  </si>
  <si>
    <t>初冷器二层平台</t>
  </si>
  <si>
    <t>√ 清理平台处油污</t>
  </si>
  <si>
    <t>硫铵二楼</t>
  </si>
  <si>
    <t>一人骨折，住院治疗，损工一个月</t>
  </si>
  <si>
    <t>田志友</t>
  </si>
  <si>
    <t>20-8-25</t>
  </si>
  <si>
    <t>二楼除尘器放水管</t>
  </si>
  <si>
    <t>× 剧警示色提示</t>
  </si>
  <si>
    <t>肩部轻微伤，误工5天。</t>
  </si>
  <si>
    <t>南风机电捕三层平台</t>
  </si>
  <si>
    <t>√ 清理平台处杂物</t>
  </si>
  <si>
    <t>操作工左腿轻微烫伤，送医务室上药后，正常上班。</t>
  </si>
  <si>
    <t>南风机1号电捕</t>
  </si>
  <si>
    <t>√ 更换焊补蒸汽管漏点</t>
  </si>
  <si>
    <t>5.5米推焦车</t>
  </si>
  <si>
    <t>一操作工跌落爬梯骨折，造成损工4个月。</t>
  </si>
  <si>
    <t>姚兴军</t>
  </si>
  <si>
    <t>推焦车爬梯</t>
  </si>
  <si>
    <t>× 增加照明亮度
× 注意作业安全</t>
  </si>
  <si>
    <t>35T锅炉房东侧</t>
  </si>
  <si>
    <t>操作工在开关阀门工作中突然滑倒造成多处磕伤</t>
  </si>
  <si>
    <t>张传宝</t>
  </si>
  <si>
    <t>办公楼东北侧</t>
  </si>
  <si>
    <t>√ 活动爬梯开关阀门
√ 开关时人员系安全带专人监护</t>
  </si>
  <si>
    <t>此处不方便制作爬梯、平台用8m铝合金梯子开关。</t>
  </si>
  <si>
    <t>一搬运工在加药时不小心弄倒梯子砸到胳膊休息后不影响上班</t>
  </si>
  <si>
    <t>付艳</t>
  </si>
  <si>
    <t>新设备加药间</t>
  </si>
  <si>
    <t>√ 将梯子搬至定至位置</t>
  </si>
  <si>
    <t>将梯子搬至定至点存放。</t>
  </si>
  <si>
    <t>污水处理三号站</t>
  </si>
  <si>
    <t>人员受到轻微惊吓，休息一会不影响工作。</t>
  </si>
  <si>
    <t>20-7-20</t>
  </si>
  <si>
    <t>3#站洗涤塔</t>
  </si>
  <si>
    <t>√ 固定电缆桥架盖板</t>
  </si>
  <si>
    <t>锅炉主控室</t>
  </si>
  <si>
    <t>一人受伤</t>
  </si>
  <si>
    <t>陶明涛</t>
  </si>
  <si>
    <t>√ 更换新地面砖</t>
  </si>
  <si>
    <t>75T配电室</t>
  </si>
  <si>
    <t>地面积水发滑巡查人员轻微伤害</t>
  </si>
  <si>
    <t>张冠群</t>
  </si>
  <si>
    <t>高压配电室东门处</t>
  </si>
  <si>
    <t>热力车间煤场</t>
  </si>
  <si>
    <t>造成财产损失或人员伤害</t>
  </si>
  <si>
    <t>刘成林</t>
  </si>
  <si>
    <t>煤棚</t>
  </si>
  <si>
    <t>√ 重新固定支撑杆</t>
  </si>
  <si>
    <t>20-8-29</t>
  </si>
  <si>
    <t>一名操作工被掉落的彩钢瓦划伤面部，经医务室简单处理后复工</t>
  </si>
  <si>
    <t>两盐东大门顶部</t>
  </si>
  <si>
    <t>√ 清除脱落的彩钢瓦</t>
  </si>
  <si>
    <t>一名操作工腿部及肋骨多处骨折，损工6个月。</t>
  </si>
  <si>
    <t>两盐东大门</t>
  </si>
  <si>
    <t>√ 加固更换导轨</t>
  </si>
  <si>
    <t>操作工脚部轻微红肿不影响生产</t>
  </si>
  <si>
    <t>高卫东</t>
  </si>
  <si>
    <t>脱硫塔底部西侧</t>
  </si>
  <si>
    <t>√ 清理现场废弃铁管</t>
  </si>
  <si>
    <t>设备损坏，装置停工</t>
  </si>
  <si>
    <t>付喜洋</t>
  </si>
  <si>
    <t>√ 更换新的托辊
√ 皮带运行时注意划伤皮带，必要时停车处理</t>
  </si>
  <si>
    <t>火星掉落引起可燃物着火</t>
  </si>
  <si>
    <t>于松江</t>
  </si>
  <si>
    <t>初冷器</t>
  </si>
  <si>
    <t>隐患描述不完整，风险严重性和可能性判断错误，建议重新修改后提交</t>
  </si>
  <si>
    <t>有肩膀划伤 在家修养一星期</t>
  </si>
  <si>
    <t>郭焕雷</t>
  </si>
  <si>
    <t>张永生</t>
  </si>
  <si>
    <t>20-7-7</t>
  </si>
  <si>
    <t>东二</t>
  </si>
  <si>
    <t>√ 尽快整改修复</t>
  </si>
  <si>
    <t>一人右脚脚踝扭伤 休息一会不影响工作</t>
  </si>
  <si>
    <t>二号煤场</t>
  </si>
  <si>
    <t>√ 尽快整改</t>
  </si>
  <si>
    <t>一人轻微脑震荡 损工51天</t>
  </si>
  <si>
    <t>√ 抓紧修复</t>
  </si>
  <si>
    <t>输煤通廊</t>
  </si>
  <si>
    <t>造成一人死亡</t>
  </si>
  <si>
    <t>赵坤</t>
  </si>
  <si>
    <t>输煤楼到锅炉顶端</t>
  </si>
  <si>
    <t>√ 清除脱落水泥块
√ 教育职工避让</t>
  </si>
  <si>
    <t>20-8-30</t>
  </si>
  <si>
    <t>脱落水泥块已清除，教育职工绕行</t>
  </si>
  <si>
    <t>换钢丝绳2根，雇用铲车上煤12小时。合计0.96万元。</t>
  </si>
  <si>
    <t>天车抓斗</t>
  </si>
  <si>
    <t>√ 监护运行
√ 更换钢丝绳</t>
  </si>
  <si>
    <t>暂时监狱运行，进钢丝绳后更换</t>
  </si>
  <si>
    <t>一人损工7天</t>
  </si>
  <si>
    <t>王秀莲</t>
  </si>
  <si>
    <t>20-7-10</t>
  </si>
  <si>
    <t>√ 维修检查机封</t>
  </si>
  <si>
    <t>造成一职工左肩轻微伤</t>
  </si>
  <si>
    <t>20-7-11</t>
  </si>
  <si>
    <t>西一通廊</t>
  </si>
  <si>
    <t>√ 拆除腐烂部分
√ 人员行走时注意高空落物</t>
  </si>
  <si>
    <t>市地媒体报道，环保事故</t>
  </si>
  <si>
    <t>刘善华</t>
  </si>
  <si>
    <t>偶合器冷却器</t>
  </si>
  <si>
    <t>社会影响</t>
  </si>
  <si>
    <t>√ 清理疏通或更换冷却器</t>
  </si>
  <si>
    <t>护栏损坏，划伤操作工</t>
  </si>
  <si>
    <t>新凉水架</t>
  </si>
  <si>
    <t>× 更换爬梯立柱</t>
  </si>
  <si>
    <t>排水沟盖板缺失导致人员伤害损工9O天。</t>
  </si>
  <si>
    <t>田清州</t>
  </si>
  <si>
    <t>25T锅炉西</t>
  </si>
  <si>
    <t>√ 补齐缺失盖板</t>
  </si>
  <si>
    <t>75t锅炉主体</t>
  </si>
  <si>
    <t>抢救无效死亡</t>
  </si>
  <si>
    <t>张雨安</t>
  </si>
  <si>
    <t>20-7-8</t>
  </si>
  <si>
    <t>吹灰器</t>
  </si>
  <si>
    <t>× 清理易坠落物
× 教育职工注意提高防范意识</t>
  </si>
  <si>
    <t>煤场</t>
  </si>
  <si>
    <t>造成一人扭伤右脚脚踝    休息一会不影响工作</t>
  </si>
  <si>
    <t>刘明源</t>
  </si>
  <si>
    <t>3号煤厂</t>
  </si>
  <si>
    <t>后果简述:停止出焦两小时，影响生产六孔焦，效益损失六万元。</t>
  </si>
  <si>
    <t>董黎明</t>
  </si>
  <si>
    <t>交换设备</t>
  </si>
  <si>
    <t>√ 调整拉条
√ 加强巡检巡查</t>
  </si>
  <si>
    <t>已由常调工调整完成</t>
  </si>
  <si>
    <t>5.5米炉顶</t>
  </si>
  <si>
    <t>左手臂骨折，住院治疗7天，在家休养60天的损工事件</t>
  </si>
  <si>
    <t>秦有杰</t>
  </si>
  <si>
    <t>炉顶</t>
  </si>
  <si>
    <t>× 管道覆盖
× 加警示标识</t>
  </si>
  <si>
    <t>划伤脚踝损工10天</t>
  </si>
  <si>
    <t>李夕良</t>
  </si>
  <si>
    <t>熄焦道轨南头西侧</t>
  </si>
  <si>
    <t>× 清理剥落水泥块
× 及时修复</t>
  </si>
  <si>
    <t>左手臂轻微划伤，不影响工作</t>
  </si>
  <si>
    <t>胡福颖</t>
  </si>
  <si>
    <t>2#初冷器出口</t>
  </si>
  <si>
    <t>√ 切割过长的螺栓</t>
  </si>
  <si>
    <t>20-8-2</t>
  </si>
  <si>
    <t>右手臂划伤，损工七天！</t>
  </si>
  <si>
    <t>√ 联系维修焊补</t>
  </si>
  <si>
    <t>护栏开焊，人员跌至地面抢救无效死亡！</t>
  </si>
  <si>
    <t>煤九</t>
  </si>
  <si>
    <t>5-5米筛焦楼</t>
  </si>
  <si>
    <t>该操作工左小腿骨折住院1个月，休养3个月康复，造成一人损工事</t>
  </si>
  <si>
    <t>郎需波</t>
  </si>
  <si>
    <t>5-5米筛焦楼除尘</t>
  </si>
  <si>
    <t>× 人员加油按高处作业落实相关措施
× 做好加油安全防护</t>
  </si>
  <si>
    <t>取样管坠落右臂骨折住院15天休养3个月后复工</t>
  </si>
  <si>
    <t>杨光伟</t>
  </si>
  <si>
    <t>2#脱硫塔</t>
  </si>
  <si>
    <t>√ 加固取样管</t>
  </si>
  <si>
    <t>一名操作工又小腿骨折，住院30天，休息31天，损工61天。</t>
  </si>
  <si>
    <t>李爱华</t>
  </si>
  <si>
    <t>干熄车</t>
  </si>
  <si>
    <t>× 人员上下爬梯抓牢扶手
× 爬梯悬挂警示标志</t>
  </si>
  <si>
    <t>非计划停车</t>
  </si>
  <si>
    <t>王克明</t>
  </si>
  <si>
    <t>煤八</t>
  </si>
  <si>
    <t>√ 更换轴承或滚筒
√ 定期检查更换润滑油</t>
  </si>
  <si>
    <t>5.5米焦炉焦侧</t>
  </si>
  <si>
    <t>一名职工烫伤损工八天</t>
  </si>
  <si>
    <t>董树堂</t>
  </si>
  <si>
    <t>焦侧烟道通廊</t>
  </si>
  <si>
    <t>× 增设防护网
× 做好个体防护</t>
  </si>
  <si>
    <t>右腿小腿肌肉划伤，损工3天</t>
  </si>
  <si>
    <t>刘树杰</t>
  </si>
  <si>
    <t>煤棚水沟</t>
  </si>
  <si>
    <t>√ 立即组织人员更换盖板</t>
  </si>
  <si>
    <t>一名操作工被划伤，轻微流血，包扎处理后，不影响工作。。</t>
  </si>
  <si>
    <t>炉底冷渣机上部水集箱</t>
  </si>
  <si>
    <t>√ 重新恢复并固定保温铁皮
√ 教育职工注意提高防范意识</t>
  </si>
  <si>
    <t>75吨锅炉脱硫西侧</t>
  </si>
  <si>
    <t>易造成巡检人员脸部及头部划伤</t>
  </si>
  <si>
    <t>胡汉东</t>
  </si>
  <si>
    <t>75锅炉0米层</t>
  </si>
  <si>
    <t>√ 悬挂“小心碰头”警示牌
√ 教育职工注意提高防范意识</t>
  </si>
  <si>
    <t>软连接螺栓拉杆孔。拆装时用不能割除。</t>
  </si>
  <si>
    <t>化产车间北风机</t>
  </si>
  <si>
    <t>盖板砸中操作工左脚，骨裂住院十天，损工90天，</t>
  </si>
  <si>
    <t>电铺水封槽防雨棚</t>
  </si>
  <si>
    <t>导致1人受伤治疗、休养共计损工3个月</t>
  </si>
  <si>
    <t>宋华秀</t>
  </si>
  <si>
    <t>× 割除废弃铁件
× 及时消除安全隐患</t>
  </si>
  <si>
    <t>一人损工5天</t>
  </si>
  <si>
    <t>刘良永</t>
  </si>
  <si>
    <t>地沟泵北边</t>
  </si>
  <si>
    <t>√ 清除杂物
√ 增加照明灯</t>
  </si>
  <si>
    <t>踩空伤人入院治疗三月</t>
  </si>
  <si>
    <t>心理生理性危险有害因素</t>
  </si>
  <si>
    <t>吴少明</t>
  </si>
  <si>
    <t>化学水北地沟沟</t>
  </si>
  <si>
    <t>区域错误</t>
  </si>
  <si>
    <t>一人左脚受伤，损工7天。</t>
  </si>
  <si>
    <t>王忠亮</t>
  </si>
  <si>
    <t>煤八机尾</t>
  </si>
  <si>
    <t>√ 做好防护，并重新覆盖水池</t>
  </si>
  <si>
    <t>膝盖软组织损伤，损工十天</t>
  </si>
  <si>
    <t>李振英</t>
  </si>
  <si>
    <t>1#溶液换热器北</t>
  </si>
  <si>
    <t>√ 接地线贴地</t>
  </si>
  <si>
    <t>20-6-23</t>
  </si>
  <si>
    <t>右前臂骨裂，住院治疗一周。</t>
  </si>
  <si>
    <t>刘欢</t>
  </si>
  <si>
    <t>新化学水二楼</t>
  </si>
  <si>
    <t>× 清走杂物
× 保持地面洁净</t>
  </si>
  <si>
    <t>膝盖、手掌处擦伤，医务室涂抹药水后恢复正常工作。</t>
  </si>
  <si>
    <t>禄洪帅</t>
  </si>
  <si>
    <t>20-7-25</t>
  </si>
  <si>
    <t>复用水池</t>
  </si>
  <si>
    <t>√ 加固或者更换踏板</t>
  </si>
  <si>
    <t>右手食指中指扭伤，住院治疗7天在家修养1个月。</t>
  </si>
  <si>
    <t>20-7-19</t>
  </si>
  <si>
    <t>预处理污泥泵房</t>
  </si>
  <si>
    <t>√ 联轴器防护罩安装到有效位置</t>
  </si>
  <si>
    <t>√ 倒换备用泵，维修更换机封</t>
  </si>
  <si>
    <t>造成一人受伤，治疗修养共计损工四个月</t>
  </si>
  <si>
    <t>李艳秋</t>
  </si>
  <si>
    <t>拦焦平台北头扁铁翘起</t>
  </si>
  <si>
    <t>× 重新焊接安装接地线
× 道行人员注意安全</t>
  </si>
  <si>
    <t>左脚腕扭伤，损工五天</t>
  </si>
  <si>
    <t>水解酸化池</t>
  </si>
  <si>
    <t>√ 对废弃管道进行拆除封堵</t>
  </si>
  <si>
    <t>20-7-9</t>
  </si>
  <si>
    <t>一人烫伤，经医务室处理不影响正常工作</t>
  </si>
  <si>
    <t>刘清明</t>
  </si>
  <si>
    <t>供蒸馏蒸汽管道疏水</t>
  </si>
  <si>
    <t>由公司统一组织保温</t>
  </si>
  <si>
    <t>化产车间MVR工段</t>
  </si>
  <si>
    <t>操作工被掉落的水泥块砸伤，休息片刻后继续工作。</t>
  </si>
  <si>
    <t>MVR南侧墙体</t>
  </si>
  <si>
    <t>√ 处理脱落的墙皮</t>
  </si>
  <si>
    <t>风机中控室</t>
  </si>
  <si>
    <t>操作工住院治疗半个月，在家休养2个月，损工60天</t>
  </si>
  <si>
    <t>杨兰</t>
  </si>
  <si>
    <t>备煤煤棚</t>
  </si>
  <si>
    <t>√ 联系外协加固</t>
  </si>
  <si>
    <t>操作工腿部骨折，送往医院治疗，一个月后康复出院。</t>
  </si>
  <si>
    <t>岳凯</t>
  </si>
  <si>
    <t>南大门</t>
  </si>
  <si>
    <t>√ 加固改造导轨，固定大门</t>
  </si>
  <si>
    <t>人员伤害，造成损工。</t>
  </si>
  <si>
    <t>刘丽霞</t>
  </si>
  <si>
    <t>东四</t>
  </si>
  <si>
    <t>√ 更换配重铁
√ 人员操作时注意距离，防止掉落砸伤人员</t>
  </si>
  <si>
    <t>人员跌入，左胳膊骨折，左侧肋骨骨折3根，住院一个月限工2月！</t>
  </si>
  <si>
    <t>张伟波</t>
  </si>
  <si>
    <t>卸酸槽</t>
  </si>
  <si>
    <t>√ 修复加固护栏门</t>
  </si>
  <si>
    <t>炼焦车间工段</t>
  </si>
  <si>
    <t>经过医院全力抢救，巡检人员伤势过重死亡。</t>
  </si>
  <si>
    <t>侯超超</t>
  </si>
  <si>
    <t>20-7-21</t>
  </si>
  <si>
    <t>5.5米捣鼓仓</t>
  </si>
  <si>
    <t>× 加固彩钢瓦
× 及时修复</t>
  </si>
  <si>
    <t>左小腿骨折，损工三个月。</t>
  </si>
  <si>
    <t>初冷器一层平台竖梯</t>
  </si>
  <si>
    <t>√ 增加防护笼</t>
  </si>
  <si>
    <t>造成颈椎错位，住院治疗三天，在家休养十五天。</t>
  </si>
  <si>
    <t>机侧1号负压管道下方</t>
  </si>
  <si>
    <t>× 调整灯具位置
× 加强安全管理</t>
  </si>
  <si>
    <t>一操作工右脚脚踝扭伤，损工35天</t>
  </si>
  <si>
    <t>王晓丽</t>
  </si>
  <si>
    <t>√ 加强个人防护！并安排人员做好监护</t>
  </si>
  <si>
    <t>一员工右肩软组织损伤，损工3天</t>
  </si>
  <si>
    <t>王凤博</t>
  </si>
  <si>
    <t>西五下料筒平台</t>
  </si>
  <si>
    <t>√ 按规定使用工具，并按要正确摆放</t>
  </si>
  <si>
    <t>拖把杆打伤手臂，休息三天后复工</t>
  </si>
  <si>
    <t>赵可霞</t>
  </si>
  <si>
    <t>煤七机头</t>
  </si>
  <si>
    <t>√ 岗位操作工重新安装套管</t>
  </si>
  <si>
    <t>造成腿部骨折，住院治疗，损工2月。</t>
  </si>
  <si>
    <t>杨振斌</t>
  </si>
  <si>
    <t>√ 制作可移动平台
√ 开关时系安全带</t>
  </si>
  <si>
    <t>造成人员面部轻微灼伤损工三天</t>
  </si>
  <si>
    <t>20-7-12</t>
  </si>
  <si>
    <t>深度处理加药间</t>
  </si>
  <si>
    <t>情景描述需要进一步加强</t>
  </si>
  <si>
    <t>有安全帽防护未造成人员伤害</t>
  </si>
  <si>
    <t>刘伟伟</t>
  </si>
  <si>
    <t>西五下料筒</t>
  </si>
  <si>
    <t>√ 关闭下料筒盖板
√ 人员经过时注意避开</t>
  </si>
  <si>
    <t>住院治疗30天、休养150多天，共损工180多天。</t>
  </si>
  <si>
    <t>王军</t>
  </si>
  <si>
    <t>风机房西侧</t>
  </si>
  <si>
    <t>√ 立即加固支撑点，设立警戒线</t>
  </si>
  <si>
    <t>一人擦伤-</t>
  </si>
  <si>
    <t>毕玉军</t>
  </si>
  <si>
    <t>7#煤气水封</t>
  </si>
  <si>
    <t>√ 组织人员回复盖板位置，并按规定使用</t>
  </si>
  <si>
    <t>小腿骨折，就医修养六个月。</t>
  </si>
  <si>
    <t>吴云霞</t>
  </si>
  <si>
    <t>熄焦</t>
  </si>
  <si>
    <t>× 整修爬梯
× 增设护笼</t>
  </si>
  <si>
    <t>刘学军</t>
  </si>
  <si>
    <t>筛焦楼地面除尘</t>
  </si>
  <si>
    <t>× 加装护栏
× 做好个体防护</t>
  </si>
  <si>
    <t>焦四机尾爬梯</t>
  </si>
  <si>
    <t>× 加固处置
× 加强检查</t>
  </si>
  <si>
    <t>5米5送煤车</t>
  </si>
  <si>
    <t>小腿骨折，损工半年</t>
  </si>
  <si>
    <t>田广</t>
  </si>
  <si>
    <t>× 恢复盖板
× 焊接加固</t>
  </si>
  <si>
    <t>5米5推焦车</t>
  </si>
  <si>
    <t>抢救无效，死亡。</t>
  </si>
  <si>
    <t>推焦车</t>
  </si>
  <si>
    <t>× 操作人员系牢安全带
× 按标准加高护松</t>
  </si>
  <si>
    <t>5米5拦焦车</t>
  </si>
  <si>
    <t>少出六孔焦，损失经济效益约6万元</t>
  </si>
  <si>
    <t>× 检查瓷瓶
× 及时修复更换</t>
  </si>
  <si>
    <t>背部软组织挫伤，就医休养1个月</t>
  </si>
  <si>
    <t>张国行</t>
  </si>
  <si>
    <t>环境除尘箱体</t>
  </si>
  <si>
    <t>√ 施工起吊前确认吊笼内无杂物，有杂物进行清理。
√ 需要随吊笼起吊、使用、暂存的工具、铆钉、边料等，要设置与吊笼固定一起的收集桶或者收集箱，防高处坠物</t>
  </si>
  <si>
    <t>吊笼内杂物已清理</t>
  </si>
  <si>
    <t>√ 尽快修复
√ 注意安全</t>
  </si>
  <si>
    <t>一人右手擦伤 损工两天</t>
  </si>
  <si>
    <t>1名员工轻微中毒，损工7天</t>
  </si>
  <si>
    <t>潘曰山</t>
  </si>
  <si>
    <t>西硫铵氨气管道</t>
  </si>
  <si>
    <t>√ 处理更换阀门</t>
  </si>
  <si>
    <t>35T锅炉取样间</t>
  </si>
  <si>
    <t>致该工人头部脑轻微脑振荡，玻璃碎片划伤面部入院冶疗一个月损工</t>
  </si>
  <si>
    <t>于海兹</t>
  </si>
  <si>
    <t>√ 铝合金隔断加固
√ 玻璃压条更换</t>
  </si>
  <si>
    <t>环保事故</t>
  </si>
  <si>
    <t>孙洪涛</t>
  </si>
  <si>
    <t>装煤车</t>
  </si>
  <si>
    <t>× 维修处理
× 焊接加固</t>
  </si>
  <si>
    <t>手腕脱臼，经过治疗回家休养两天，一人损工两天</t>
  </si>
  <si>
    <t>付晓寺</t>
  </si>
  <si>
    <t>循环槽北通道</t>
  </si>
  <si>
    <t>√ 清理杂乱的包装线</t>
  </si>
  <si>
    <t>化产车间，深度脫硫</t>
  </si>
  <si>
    <t>回液管道腐蚀泄露至一名操作工左脸烫伤</t>
  </si>
  <si>
    <t>深度脱硫熔硫釜</t>
  </si>
  <si>
    <t>√ 处理泄漏点</t>
  </si>
  <si>
    <t>粗苯区域</t>
  </si>
  <si>
    <t>就医后拍片无大碍，回岗位继续工作，无损工</t>
  </si>
  <si>
    <t>管架上部</t>
  </si>
  <si>
    <t>隐患风险严重级别判断错误</t>
  </si>
  <si>
    <t>一人掉入小井淹溺身亡</t>
  </si>
  <si>
    <t>生化压滤机房</t>
  </si>
  <si>
    <t>√ 盖板恢复有效位置</t>
  </si>
  <si>
    <t>一职工受伤，损工105天。</t>
  </si>
  <si>
    <t>郭才喜</t>
  </si>
  <si>
    <t>煤五</t>
  </si>
  <si>
    <t>√ 尽快复位，严格按照操作规程进行操作。</t>
  </si>
  <si>
    <t>液化气瓶爆炸，一人死亡</t>
  </si>
  <si>
    <t>刘振国</t>
  </si>
  <si>
    <t>施工现场</t>
  </si>
  <si>
    <t>√ 完善防护措施，增加防震圈</t>
  </si>
  <si>
    <t>一职工脸部左侧擦伤，消毒休息后继续工作。</t>
  </si>
  <si>
    <t>冯成刚</t>
  </si>
  <si>
    <t>3#煤场4#料口</t>
  </si>
  <si>
    <t>√ 联系维修割除</t>
  </si>
  <si>
    <t>人员头部受击，损工一月康复</t>
  </si>
  <si>
    <t>赵兴家</t>
  </si>
  <si>
    <t>硫铵西满流槽</t>
  </si>
  <si>
    <t>√ 拆除铁管</t>
  </si>
  <si>
    <t>多处粉碎性骨折，住院一年，在家休养一年。损工一人。</t>
  </si>
  <si>
    <t>刘明壮</t>
  </si>
  <si>
    <t>1号脱硫塔</t>
  </si>
  <si>
    <t>√ 加固平台护栏</t>
  </si>
  <si>
    <t>右腿骨折，损工105天</t>
  </si>
  <si>
    <t>刘好运</t>
  </si>
  <si>
    <t>20-7-17</t>
  </si>
  <si>
    <t>× 固定爬梯
× 加护栏</t>
  </si>
  <si>
    <t>√ 固定爬梯
√ 加护栏</t>
  </si>
  <si>
    <t>一人左脚脚踝扭伤 休息一会不影响工作</t>
  </si>
  <si>
    <t>√ 尽快修复
√ 加强巡查</t>
  </si>
  <si>
    <t>脚踝扭伤，损工3天。</t>
  </si>
  <si>
    <t>两盐西侧水沟</t>
  </si>
  <si>
    <t>√ 复位地沟盖板</t>
  </si>
  <si>
    <t>化工厂吸氨岗位</t>
  </si>
  <si>
    <t>浓氨水溅到身上，经简单处理后立即复工。</t>
  </si>
  <si>
    <t>刘树娟</t>
  </si>
  <si>
    <t>李洪波</t>
  </si>
  <si>
    <t>20-7-18</t>
  </si>
  <si>
    <t>吸氨罐区</t>
  </si>
  <si>
    <t>√ 更换取样点阀门</t>
  </si>
  <si>
    <t>更换取样点阀门</t>
  </si>
  <si>
    <t>离心岗位</t>
  </si>
  <si>
    <t>入院治疗3天在家休养7天，造成一人损工事件。</t>
  </si>
  <si>
    <t>董爱梅</t>
  </si>
  <si>
    <t>3#离心机</t>
  </si>
  <si>
    <t>√ 安装螺丝固定布料斗</t>
  </si>
  <si>
    <t>将缺失螺丝安装，固定布料斗</t>
  </si>
  <si>
    <t>医生诊断住院10天在家休养90天，造成一人损工事件</t>
  </si>
  <si>
    <t>吊装平台</t>
  </si>
  <si>
    <t>事故调查</t>
  </si>
  <si>
    <t>√ 把吊装盖板恢复到有效位置</t>
  </si>
  <si>
    <t>已把盖板复位</t>
  </si>
  <si>
    <t>面部轻微灼伤，损工三天。</t>
  </si>
  <si>
    <t>√ 维修人员对活节密封圈更换，</t>
  </si>
  <si>
    <t>住院2天在家休养4天造成一人损工事件</t>
  </si>
  <si>
    <t>朱桥贵</t>
  </si>
  <si>
    <t>碳化一楼</t>
  </si>
  <si>
    <t>√ 把盖板摆放到有效位置</t>
  </si>
  <si>
    <t>地沟盖板恢复到有效位置</t>
  </si>
  <si>
    <t>吸氨岗位</t>
  </si>
  <si>
    <t>医院诊断眼部软组织灼伤在家休养7天造成一人损工事故</t>
  </si>
  <si>
    <t>储备槽</t>
  </si>
  <si>
    <t>√ 为保证产品质量，减少漏点产生，更换不锈钢管线</t>
  </si>
  <si>
    <t>更换不锈钢管线</t>
  </si>
  <si>
    <t>包装机岗位</t>
  </si>
  <si>
    <t>入院抢救无效死亡造成一人死亡事件</t>
  </si>
  <si>
    <t>刘炳焰</t>
  </si>
  <si>
    <t>包装机</t>
  </si>
  <si>
    <t>√ 接线盒螺丝固定</t>
  </si>
  <si>
    <t>接线盒螺丝固定</t>
  </si>
  <si>
    <t>操作工右臂轻微烫伤，送医务室上药后正常上班。</t>
  </si>
  <si>
    <t>王璇</t>
  </si>
  <si>
    <t>搅拌器蒸汽吹扫管</t>
  </si>
  <si>
    <t>× 悬挂警示牌或保温</t>
  </si>
  <si>
    <t>右手触电，手指发麻疼痛，休息一会不影响工作</t>
  </si>
  <si>
    <t>1#站化验室</t>
  </si>
  <si>
    <t>√ 电工人员对电线接头老化处重新对接包扎
√ 操作人员对破解冷却水管更换</t>
  </si>
  <si>
    <t>化产车间南循环水</t>
  </si>
  <si>
    <t>脚面肿痛，行动不便，损工五日。</t>
  </si>
  <si>
    <t>刘永先</t>
  </si>
  <si>
    <t>操作室北路口</t>
  </si>
  <si>
    <t>√ 规范放置</t>
  </si>
  <si>
    <t>电缆裸露导致操作人员触电死亡。</t>
  </si>
  <si>
    <t>李强</t>
  </si>
  <si>
    <t>8000m3</t>
  </si>
  <si>
    <t>√ 电工人员用绝缘胶带包扎</t>
  </si>
  <si>
    <t>变频器过热烧坏，装置无法启动，造成安全环保事故</t>
  </si>
  <si>
    <t>反渗透装置</t>
  </si>
  <si>
    <t>√ 电工人员对变频器灰尘吹跑处理</t>
  </si>
  <si>
    <t>一职工左小腿骨折，损工100天。</t>
  </si>
  <si>
    <t>李建伟</t>
  </si>
  <si>
    <t>备煤车间8＃煤气水封</t>
  </si>
  <si>
    <t>√ 严格按照登高作业规定，设立安全监护人员，做好监护工作。</t>
  </si>
  <si>
    <t>一人手臂受伤，误工105天</t>
  </si>
  <si>
    <t>刘庆平</t>
  </si>
  <si>
    <t>√ 采用安全可靠的登高方式进行作业，并设立安全监护人员。</t>
  </si>
  <si>
    <t>20-6-16</t>
  </si>
  <si>
    <t>化工厂，液氨充装站</t>
  </si>
  <si>
    <t>造成一名人员脚部扭伤，损工一天。</t>
  </si>
  <si>
    <t>张国庆</t>
  </si>
  <si>
    <t>于观辉</t>
  </si>
  <si>
    <t>20-7-27</t>
  </si>
  <si>
    <t>液氨罐区南侧地沟</t>
  </si>
  <si>
    <t>√ 联系维修加盖盖板
× 设提醒标识</t>
  </si>
  <si>
    <t>已经联系维修加盖铁板，第二条可以忽略（设提醒标识）</t>
  </si>
  <si>
    <t>一名操作工左腿小腿骨折，损工70天。</t>
  </si>
  <si>
    <t>任庆军</t>
  </si>
  <si>
    <t>√ 责令岗位人员使用后及时关闭，以防出现人员伤害！</t>
  </si>
  <si>
    <t>线路漏电引起火灾</t>
  </si>
  <si>
    <t>东四操作时室</t>
  </si>
  <si>
    <t>√ 责令岗位人员立即将可燃物清理，做到规范用电</t>
  </si>
  <si>
    <t>一员工右脚小指骨折，损工101天</t>
  </si>
  <si>
    <t>杨玉明</t>
  </si>
  <si>
    <t>值班室</t>
  </si>
  <si>
    <t>√ 教育培训，责令员工立即将扳手定置摆放</t>
  </si>
  <si>
    <t>5米5焦炉地下室</t>
  </si>
  <si>
    <t>造成人员大面积煤气中毒，送医院抢救无效伤亡</t>
  </si>
  <si>
    <t>地下室东南侧轴流风扇</t>
  </si>
  <si>
    <t>× 封堵破损部位
× 加强巡检巡查</t>
  </si>
  <si>
    <t>腿部烫伤</t>
  </si>
  <si>
    <t>二楼平台</t>
  </si>
  <si>
    <t>√ 更换破损的垫子</t>
  </si>
  <si>
    <t>损伤人的呼吸系统灼伤人皮肤并且腐蚀设备设施</t>
  </si>
  <si>
    <t>20-7-26</t>
  </si>
  <si>
    <t>2#站吸附间</t>
  </si>
  <si>
    <t>× 协调维修人员对泄漏点进行维修，并对现场残留液进行处理</t>
  </si>
  <si>
    <t>划伤皮带，财产损失2000元</t>
  </si>
  <si>
    <t>左恒坤</t>
  </si>
  <si>
    <t>东五后尾</t>
  </si>
  <si>
    <t>√ 维修更换刮皮
√ 人员巡检时注意设备使用情况，发现问题及时停车处理</t>
  </si>
  <si>
    <t>一人右肩胛骨骨折，损工75天</t>
  </si>
  <si>
    <t>煤九外平台</t>
  </si>
  <si>
    <t>√ 维修人员固定好
√ 人员经过时注意高空落物</t>
  </si>
  <si>
    <t>轻微挤伤</t>
  </si>
  <si>
    <t>高玉花</t>
  </si>
  <si>
    <t>煤六后尾</t>
  </si>
  <si>
    <t>√ 维修人员固定好刮板
√ 人员使用设备时，注意安全</t>
  </si>
  <si>
    <t>右手电灼伤，损工10天</t>
  </si>
  <si>
    <t>20-7-23</t>
  </si>
  <si>
    <t>旋转密封阀处</t>
  </si>
  <si>
    <t>电器配电箱正常情况下需保持关闭</t>
  </si>
  <si>
    <t>× 维修配电箱锁具，确保日常保持关闭状态</t>
  </si>
  <si>
    <t>一人左腿根部擦伤，休息一会儿，继续工作。</t>
  </si>
  <si>
    <t>2#煤场</t>
  </si>
  <si>
    <t>√ 培训教育，立即整改，规范操作</t>
  </si>
  <si>
    <t>右脚扭伤，损工7天</t>
  </si>
  <si>
    <t>20-9-2</t>
  </si>
  <si>
    <t>二次除尘</t>
  </si>
  <si>
    <t>安全意识强能发现安全隐患</t>
  </si>
  <si>
    <t>× 联系维修尽快焊接安装防滑条</t>
  </si>
  <si>
    <t>造成该操作工头部被击伤流血，轻微脑震荡经包扎后休工三天</t>
  </si>
  <si>
    <t>终冷器南电缆桥架</t>
  </si>
  <si>
    <t>后果严重性判断错误</t>
  </si>
  <si>
    <t>灼伤后手臂皮肤脱落，送医院救治，住院一周，损工一个月</t>
  </si>
  <si>
    <t>秦光义</t>
  </si>
  <si>
    <t>老化学水</t>
  </si>
  <si>
    <t>操作隐患，当场整改</t>
  </si>
  <si>
    <t>造成经济损失</t>
  </si>
  <si>
    <t>√ 更换托辊
√ 及时排查设备隐患，提前处理</t>
  </si>
  <si>
    <t>灼伤，一人损工事故</t>
  </si>
  <si>
    <t>陈辉</t>
  </si>
  <si>
    <t>维修</t>
  </si>
  <si>
    <t>√ 使用临时电源必须规范
√ 停止作业，按标准要求方可作业</t>
  </si>
  <si>
    <t>化工厂液氨灌区</t>
  </si>
  <si>
    <t>数据不能即时传输，出现问题时不能及时发现，造成事故发生。</t>
  </si>
  <si>
    <t>闫庚全</t>
  </si>
  <si>
    <t>化工厂碳铵装置北侧</t>
  </si>
  <si>
    <t>技术变更管理</t>
  </si>
  <si>
    <t>√ 联系维修整改</t>
  </si>
  <si>
    <t>左肩骨折，损工三个月</t>
  </si>
  <si>
    <t>张川</t>
  </si>
  <si>
    <t>干熄炉三层</t>
  </si>
  <si>
    <t>护栏完好是防止高坠事故的有效措施，需确保其完整性有效性</t>
  </si>
  <si>
    <t>× 加固护栏腐蚀处，防止失效人员坠落受伤</t>
  </si>
  <si>
    <t>化工厂二氧化碳储槽</t>
  </si>
  <si>
    <t>一名操作人员手腕部冻伤，损工二天。</t>
  </si>
  <si>
    <t>低温物质</t>
  </si>
  <si>
    <t>石秀明</t>
  </si>
  <si>
    <t>化工厂二氧化碳储罐</t>
  </si>
  <si>
    <t>× 定时巡查紧固填料，确保填料无泄露。</t>
  </si>
  <si>
    <t>送医治疗，人员死亡。</t>
  </si>
  <si>
    <t>东地面除尘</t>
  </si>
  <si>
    <t>踏板平台需具有足够强度，防止人员踩断坠落</t>
  </si>
  <si>
    <t>× 平台下部与踏板垂直加装一根角铁支撑加固，防止人员踩断坠落</t>
  </si>
  <si>
    <t>除盐水站</t>
  </si>
  <si>
    <t>一套设备停机，干熄焦降负荷</t>
  </si>
  <si>
    <t>钱江红</t>
  </si>
  <si>
    <t>一楼配电柜</t>
  </si>
  <si>
    <t>电气绝缘必须保障</t>
  </si>
  <si>
    <t>× 在确保生产正常情况下，等合适机会停电更换，确保绝缘正常防止电气事故。</t>
  </si>
  <si>
    <t>铁板腐蚀严重，造成人员腿部擦伤，简单处理继续工作</t>
  </si>
  <si>
    <t>通往循环槽爬梯</t>
  </si>
  <si>
    <t>√ 更换铁板</t>
  </si>
  <si>
    <t>东四岗位</t>
  </si>
  <si>
    <t>一人左手骨折损工91天</t>
  </si>
  <si>
    <t>韩雪</t>
  </si>
  <si>
    <t>东四机头</t>
  </si>
  <si>
    <t>√ 尽快安装护栏。</t>
  </si>
  <si>
    <t>分析室</t>
  </si>
  <si>
    <t>医生诊断腿部软组织轻度灼伤简单包扎后复工。</t>
  </si>
  <si>
    <t>祝文英</t>
  </si>
  <si>
    <t>√ 把装有硫酸的瓶子放到正确位置</t>
  </si>
  <si>
    <t>已把硫酸容器放到安全有效位置</t>
  </si>
  <si>
    <t>一职工手臂擦伤</t>
  </si>
  <si>
    <t>风机房二层</t>
  </si>
  <si>
    <t>√ 跟换照明灯</t>
  </si>
  <si>
    <t>一人手指骨折，损工122天</t>
  </si>
  <si>
    <t>刘徐州</t>
  </si>
  <si>
    <t>√ 尽快安装护罩。</t>
  </si>
  <si>
    <t>一名维修工小腿受伤，医院治疗后回家休息10天，损工事件</t>
  </si>
  <si>
    <t>100立方米液氨储槽</t>
  </si>
  <si>
    <t>√ 联系维修增加平台铺板</t>
  </si>
  <si>
    <t>维修工加工铺板完善平台</t>
  </si>
  <si>
    <t>居家休养7天，损工7天</t>
  </si>
  <si>
    <t>檀钰</t>
  </si>
  <si>
    <t>3号皮带西</t>
  </si>
  <si>
    <t>√ 制作检查孔篦子覆盖</t>
  </si>
  <si>
    <t>一人面部烫伤，损工3天</t>
  </si>
  <si>
    <t>北脱硫蒸氨塔</t>
  </si>
  <si>
    <t>√ 封堵法兰</t>
  </si>
  <si>
    <t>热力车间25t锅炉</t>
  </si>
  <si>
    <t>住院三个月治疗</t>
  </si>
  <si>
    <t>噪声</t>
  </si>
  <si>
    <t>25吨锅炉西地沟</t>
  </si>
  <si>
    <t>√ 换铁剩盖板</t>
  </si>
  <si>
    <t>新化水</t>
  </si>
  <si>
    <t>造成财产损失</t>
  </si>
  <si>
    <t>李光进</t>
  </si>
  <si>
    <t>厂房南端</t>
  </si>
  <si>
    <t>√ 更换喷粉管
√ 加强日常巡查</t>
  </si>
  <si>
    <t>小腿骨折，入院治疗，损工三个月。</t>
  </si>
  <si>
    <t>田怀成</t>
  </si>
  <si>
    <t>35T化学水超滤</t>
  </si>
  <si>
    <t>√ 更换地沟篦子</t>
  </si>
  <si>
    <t>脚腕扭伤，误工5天。</t>
  </si>
  <si>
    <t>点名室门口</t>
  </si>
  <si>
    <t>√ 设立安全监护人员，做好安全监护。</t>
  </si>
  <si>
    <t>砸伤背部送医院治疗三天在家休养一个月复工。</t>
  </si>
  <si>
    <t>电捕水封槽管架处</t>
  </si>
  <si>
    <t>√ 清除窗户框架</t>
  </si>
  <si>
    <t>一只脚烫伤，损工15天</t>
  </si>
  <si>
    <t>刘洪芳</t>
  </si>
  <si>
    <t>东冷凝</t>
  </si>
  <si>
    <t>√ 封堵人孔</t>
  </si>
  <si>
    <t>一名操作人员当场死亡</t>
  </si>
  <si>
    <t>2#电捕焦油器</t>
  </si>
  <si>
    <t>√ 防腐除锈</t>
  </si>
  <si>
    <t>一人右手臂轻微划伤不影响正常工作</t>
  </si>
  <si>
    <t>南脱硫压滤机房</t>
  </si>
  <si>
    <t>一人砸到头部 休息一会不影响工作</t>
  </si>
  <si>
    <t>√ 尽快修复
√ 登高注意安全</t>
  </si>
  <si>
    <t>一人轻微脑震荡 损工30天</t>
  </si>
  <si>
    <t>东煤场挡风墙</t>
  </si>
  <si>
    <t>√ 登高注意安全</t>
  </si>
  <si>
    <t>备煤焦渣掺配系统</t>
  </si>
  <si>
    <t>一人右前臂骨折 损工122天</t>
  </si>
  <si>
    <t>焦渣掺配</t>
  </si>
  <si>
    <t>√ 尽快修复焊补</t>
  </si>
  <si>
    <t>热力车间东区</t>
  </si>
  <si>
    <t>一职工左脚小脚趾骨折，损工45天</t>
  </si>
  <si>
    <t>魏晓贞</t>
  </si>
  <si>
    <t>25吨锅炉东北角</t>
  </si>
  <si>
    <t>× 做铁板覆盖
× 盖好，保持盖板齐全</t>
  </si>
  <si>
    <t>可能造成一名操作工手腕扭伤，在家休息一周后复工。</t>
  </si>
  <si>
    <t>南脱硫操作室</t>
  </si>
  <si>
    <t>手指受伤，损工四个月</t>
  </si>
  <si>
    <t>代向明</t>
  </si>
  <si>
    <t>煤七</t>
  </si>
  <si>
    <t>√ 尽快加装护栏。</t>
  </si>
  <si>
    <t>一员工腿部骨折，损工四个月。</t>
  </si>
  <si>
    <t>张立峰</t>
  </si>
  <si>
    <t>√ 尽快将涝坑上方用盖板覆盖。</t>
  </si>
  <si>
    <t>旧化水</t>
  </si>
  <si>
    <t>操作工在巡检时，不小心踩上，造成摔伤，小腿骨折，损工15天</t>
  </si>
  <si>
    <t>魏天华</t>
  </si>
  <si>
    <t>√ 重新制作铁质盖板，刷漆防腐
√ 盖好，保持盖板齐全</t>
  </si>
  <si>
    <t>一名操作工背部砸伤，损工三天。</t>
  </si>
  <si>
    <t>刘桂亮</t>
  </si>
  <si>
    <t>√ 修复彩钢瓦</t>
  </si>
  <si>
    <t>一名操作人员左小腿骨折，损工100天。</t>
  </si>
  <si>
    <t>李明伟</t>
  </si>
  <si>
    <t>20-8-16</t>
  </si>
  <si>
    <t>2#站主副塔</t>
  </si>
  <si>
    <t>√ 整改护栏</t>
  </si>
  <si>
    <t>20-8-14</t>
  </si>
  <si>
    <t>蒸汽热水烫伤巡检人员腿部，送医院治疗，休养7天，一人损工。</t>
  </si>
  <si>
    <t>刘洪光</t>
  </si>
  <si>
    <t>饱和器北边</t>
  </si>
  <si>
    <t>√ 更换阀门法兰垫子</t>
  </si>
  <si>
    <t>经济损失2万余元</t>
  </si>
  <si>
    <t>√ 协调除锈人员对内部管架.彩钢瓦除锈刷漆</t>
  </si>
  <si>
    <t>20-6-26</t>
  </si>
  <si>
    <t>腿部轻微擦伤，简单处理后继续工作。</t>
  </si>
  <si>
    <t>张瑞涛</t>
  </si>
  <si>
    <t>东冷凝液罐</t>
  </si>
  <si>
    <t>√ 设立警示牌，管道禁止翻越</t>
  </si>
  <si>
    <t>电机不散热，烧毁管道泵，机封水不上量，影响其他电机正常使用。</t>
  </si>
  <si>
    <t>马卫东</t>
  </si>
  <si>
    <t>机封水罐管道泵</t>
  </si>
  <si>
    <t>√ 清理维修电机风扇</t>
  </si>
  <si>
    <t>一职工左小臂骨折，损工110天。</t>
  </si>
  <si>
    <t>√ 设立监护人，做好安全监护。</t>
  </si>
  <si>
    <t>粗苯南北区域及配电室</t>
  </si>
  <si>
    <t>操作工胳膊和小腿多处灼伤，处理后休班半天。</t>
  </si>
  <si>
    <t>王占伟</t>
  </si>
  <si>
    <t>MVR原料罐进口阀门</t>
  </si>
  <si>
    <t>√ 维修处理漏点</t>
  </si>
  <si>
    <t>化产车间东冷凝</t>
  </si>
  <si>
    <t>电机漏电，造成人员伤亡</t>
  </si>
  <si>
    <t>赵玉强</t>
  </si>
  <si>
    <t>√ 停用设备尽快拆除
√ 增加电机防雨罩</t>
  </si>
  <si>
    <t>造成右腿轻微擦伤</t>
  </si>
  <si>
    <t>√ 使用完工具电缆后，放到指定位置
√ 人员经过时注意安全</t>
  </si>
  <si>
    <t>造成损工</t>
  </si>
  <si>
    <t>√ 维修焊补腐烂部分
√ 人员清理时注意避开腐烂部分，防止出现伤害事故</t>
  </si>
  <si>
    <t>20-7-2</t>
  </si>
  <si>
    <t>一操作工左脚骨折，损工120天。</t>
  </si>
  <si>
    <t>路世杰</t>
  </si>
  <si>
    <t>西一涨紧处</t>
  </si>
  <si>
    <t>√ 安装防护栏
√ 人员操作时，不停车，不准作业</t>
  </si>
  <si>
    <t>一名操作工轻微伤，简单包扎后复工</t>
  </si>
  <si>
    <t>√ 清除铁件</t>
  </si>
  <si>
    <t>员工脚腕扭伤</t>
  </si>
  <si>
    <t>毕玉宁</t>
  </si>
  <si>
    <t>一楼加药间</t>
  </si>
  <si>
    <t>盖板等的不完善是地沟伤人的主要问题，需及时修复</t>
  </si>
  <si>
    <t>× 更换加固盖板，防止人员绊倒及坠入受伤</t>
  </si>
  <si>
    <t>化产车间北供水</t>
  </si>
  <si>
    <t>一人淹溺死亡</t>
  </si>
  <si>
    <t>赵丽香</t>
  </si>
  <si>
    <t>来两千方水池</t>
  </si>
  <si>
    <t>√ 增加照明灯，盖板立即覆盖遮挡井口</t>
  </si>
  <si>
    <t>造成轻微伤害，治疗后没有损工。</t>
  </si>
  <si>
    <t>杨爱富</t>
  </si>
  <si>
    <t>初冷器三层平台</t>
  </si>
  <si>
    <t>√ 清除护栏处散落铝皮</t>
  </si>
  <si>
    <t>经医务室处理后，损工三天。</t>
  </si>
  <si>
    <t>脱硫塔水封下液管</t>
  </si>
  <si>
    <t>√ 保温铝皮进行修复加固</t>
  </si>
  <si>
    <t>循环水区域</t>
  </si>
  <si>
    <t>被阀门伴倒擦伤面部</t>
  </si>
  <si>
    <t>刘波</t>
  </si>
  <si>
    <t>循环水池北侧</t>
  </si>
  <si>
    <t>√ 清走旧阀门</t>
  </si>
  <si>
    <t>热力车间硫铵工段</t>
  </si>
  <si>
    <t>经医院抢救无效死亡，造成一人死亡事件。</t>
  </si>
  <si>
    <t>陈连胜</t>
  </si>
  <si>
    <t>两盐工段 大棚顶部</t>
  </si>
  <si>
    <t>造成该操作人员因触电导致手部被电火花灼伤，休工三天</t>
  </si>
  <si>
    <t>赵玉华</t>
  </si>
  <si>
    <t>两盐一楼电缆桥架</t>
  </si>
  <si>
    <t>√ 检查线路，屋顶进行防水处理</t>
  </si>
  <si>
    <t>可能会造成该操作人员因砸伤，导致肩胛骨骨折从医治后休工三个月</t>
  </si>
  <si>
    <t>白立军</t>
  </si>
  <si>
    <t>两盐大棚内</t>
  </si>
  <si>
    <t>√ 移动平台挪至空旷平坦处</t>
  </si>
  <si>
    <t>化产车间，粗苯岗位</t>
  </si>
  <si>
    <t>因陷落地沟导致小腿骨裂，送医治疗后休工一月。</t>
  </si>
  <si>
    <t>秦中平</t>
  </si>
  <si>
    <t>粗苯北区地沟</t>
  </si>
  <si>
    <t>√ 使用铁板覆盖地沟缺口</t>
  </si>
  <si>
    <t>汽轮机循环水系统</t>
  </si>
  <si>
    <t>人员触电，造成伤亡。</t>
  </si>
  <si>
    <t>吴长禄</t>
  </si>
  <si>
    <t>20-7-30</t>
  </si>
  <si>
    <t>循环水冷却塔上部</t>
  </si>
  <si>
    <t>电气绝缘保持良好，防止触电及短路</t>
  </si>
  <si>
    <t>× 联系电工对接线头绝缘情况进行检查处理，确保绝缘良好，防止触电</t>
  </si>
  <si>
    <t>一名操作工面部轻微灼伤，损工三天。</t>
  </si>
  <si>
    <t>郭建忠</t>
  </si>
  <si>
    <t>20-8-22</t>
  </si>
  <si>
    <t>20-8-7</t>
  </si>
  <si>
    <t>巡检人员腿部被热蒸汽水烫伤，送医院治疗，损工7天。</t>
  </si>
  <si>
    <t>饱和器北蒸汽阀门</t>
  </si>
  <si>
    <t>√ 维修处理泄漏点</t>
  </si>
  <si>
    <t>化工厂精炼工段</t>
  </si>
  <si>
    <t>一名巡检工掉入再生槽，窒息死亡。</t>
  </si>
  <si>
    <t>李福栋</t>
  </si>
  <si>
    <t>精脱硫岗位再生槽</t>
  </si>
  <si>
    <t>√ 将再生槽人孔放在安全有效位置</t>
  </si>
  <si>
    <t>将再生槽人孔放在有效位置，确保安全！</t>
  </si>
  <si>
    <t>人员右手食指跟中指被割掉，损工三个月康复</t>
  </si>
  <si>
    <t>2＃大母液泵</t>
  </si>
  <si>
    <t>液氨管线压力增高腐蚀点液氨喷溅造成一人眼睛失明损工在家休养</t>
  </si>
  <si>
    <t>初爱华</t>
  </si>
  <si>
    <t>氨水制备器液氨管线</t>
  </si>
  <si>
    <t>√ 提报检修计划更换管线
× 设警示标识提醒操作工注意防范</t>
  </si>
  <si>
    <t>提报检修已更换新制备器新管线，第二条可忽略（设警示标识提醒操作工注意防范）</t>
  </si>
  <si>
    <t>刘金科</t>
  </si>
  <si>
    <t>干熄炉五层</t>
  </si>
  <si>
    <t>高度过大处协调外协进行处理，防止隐患整改中的新隐患</t>
  </si>
  <si>
    <t>× 联系公司外协进行处理，防止隐患整改中的新隐患，未整改前挂牌警示</t>
  </si>
  <si>
    <t>汽轮机系统</t>
  </si>
  <si>
    <t>一人死亡事故</t>
  </si>
  <si>
    <t>戴晓宁</t>
  </si>
  <si>
    <t>主控楼三楼楼顶</t>
  </si>
  <si>
    <t>电气绝缘完好是防止触电事故的前提</t>
  </si>
  <si>
    <t>× 进绝缘包扎，防止漏电，防止人员触电事故</t>
  </si>
  <si>
    <t>擦机布被运转皮带卷入导致操作工手指折断，损工一年零个月。</t>
  </si>
  <si>
    <t>郑召伦</t>
  </si>
  <si>
    <t>离心机</t>
  </si>
  <si>
    <t>√ 加强操作工安全培训
√ 离心机设提醒标识</t>
  </si>
  <si>
    <t>已经对操作工进行安全操作教育培训，操作间贴提醒标识。</t>
  </si>
  <si>
    <t>阀门损坏，造成财产损失。</t>
  </si>
  <si>
    <t>董国庆</t>
  </si>
  <si>
    <t>主控楼顶</t>
  </si>
  <si>
    <t>防雨防水，保持设备正常</t>
  </si>
  <si>
    <t>× 联系维修班加装防雨罩，保护阀门防止损坏造成生产影响</t>
  </si>
  <si>
    <t>一职工肩部受伤损工三天。</t>
  </si>
  <si>
    <t>牟小花</t>
  </si>
  <si>
    <t>交班室东</t>
  </si>
  <si>
    <t>√ 及时关闭车库门。</t>
  </si>
  <si>
    <t>一员工腿部受伤损工95天</t>
  </si>
  <si>
    <t>刘兴业</t>
  </si>
  <si>
    <t>煤棚北</t>
  </si>
  <si>
    <t>√ 尽快加装盖板。</t>
  </si>
  <si>
    <t>化工化工碳化片区</t>
  </si>
  <si>
    <t>导致操作工胳膊扭伤送医治疗一周在家休养一月损工一月零七天。</t>
  </si>
  <si>
    <t>从事禁忌作业</t>
  </si>
  <si>
    <t>徐振宇</t>
  </si>
  <si>
    <t>√ 加强操作工安全培训教育
√ 离心机设提醒标识</t>
  </si>
  <si>
    <t>已经对操作工进行安全培训教育离心机操作间挂提醒标识。</t>
  </si>
  <si>
    <t>一员工膝盖擦伤，消毒处理休息后继续工作</t>
  </si>
  <si>
    <t>谢晓梅</t>
  </si>
  <si>
    <t>东一东门</t>
  </si>
  <si>
    <t>√ 水桶归位，按要求定置摆放</t>
  </si>
  <si>
    <t>人员烫伤，损工。</t>
  </si>
  <si>
    <t>南脱硫南草萍必</t>
  </si>
  <si>
    <t>化工厂碳铵区域</t>
  </si>
  <si>
    <t>一名操作工小腿划伤，住院治疗三天回家休息五天，损工事件。</t>
  </si>
  <si>
    <t>赵建源</t>
  </si>
  <si>
    <t>碳化三楼平台</t>
  </si>
  <si>
    <t>√ 焊补新的楼板</t>
  </si>
  <si>
    <t>在上爬梯时会造成手臂刮伤或扶空</t>
  </si>
  <si>
    <t>刘立聪</t>
  </si>
  <si>
    <t>初冷器一层爬梯</t>
  </si>
  <si>
    <t>√ 加固焊接</t>
  </si>
  <si>
    <t>一名员工左脚脚踝骨折，损工100天</t>
  </si>
  <si>
    <t>胡西荣</t>
  </si>
  <si>
    <t>消防水池南边爬梯</t>
  </si>
  <si>
    <t>及时加装防滑条</t>
  </si>
  <si>
    <t>× 焊加防滑条，防止人员滑跌</t>
  </si>
  <si>
    <t>膝盖擦伤，休息后继续工作。</t>
  </si>
  <si>
    <t>化产车间制氮机房</t>
  </si>
  <si>
    <t>× 清除铁板</t>
  </si>
  <si>
    <t>膝盖轻微擦伤，到医务室处理后继续正常。    没有损工</t>
  </si>
  <si>
    <t>√ 清理池内潜水泵</t>
  </si>
  <si>
    <t>一人胸骨骨折，误工122天</t>
  </si>
  <si>
    <t>√ 做好个人防护，联系维修进行加装护栏！</t>
  </si>
  <si>
    <t>化工厂包装机岗位</t>
  </si>
  <si>
    <t>一名操作工右手手指挤伤送医治疗15天在家休养3个月</t>
  </si>
  <si>
    <t>李焕东</t>
  </si>
  <si>
    <t>热合机</t>
  </si>
  <si>
    <t>√ 防护罩就位</t>
  </si>
  <si>
    <t>盖板掉落后，地面有人经过，可至人划伤</t>
  </si>
  <si>
    <t>液氨罐区东管架</t>
  </si>
  <si>
    <t>√ 对盖板进行固定</t>
  </si>
  <si>
    <t>将盖板重新盖好并固定</t>
  </si>
  <si>
    <t>右手骨折，损工3个月</t>
  </si>
  <si>
    <t>刘海翠</t>
  </si>
  <si>
    <t>旧化学水清水池爬梯</t>
  </si>
  <si>
    <t>经查，该处踏步为防滑的花纹板</t>
  </si>
  <si>
    <t>1人触电伤亡</t>
  </si>
  <si>
    <t>郭维利</t>
  </si>
  <si>
    <t>2#调节池</t>
  </si>
  <si>
    <t>√ 规范接线</t>
  </si>
  <si>
    <t>1人受伤，损工3个月</t>
  </si>
  <si>
    <t>刘金坐</t>
  </si>
  <si>
    <t>化工厂北凉水塔</t>
  </si>
  <si>
    <t>√ 组织人员重新防腐</t>
  </si>
  <si>
    <t>已经组织人员防腐整改</t>
  </si>
  <si>
    <t>√ 联系维修进行防腐刷漆
√ 设安全绳拦截提醒操作工不要上楼梯</t>
  </si>
  <si>
    <t>联系维修防腐挂牌整改</t>
  </si>
  <si>
    <t>一名检修工右脚骨折，住院七天，在家休养十五天，损工二十二天。</t>
  </si>
  <si>
    <t>赵淑红</t>
  </si>
  <si>
    <t>碳化塔塔底</t>
  </si>
  <si>
    <t>√ 设置警戒线</t>
  </si>
  <si>
    <t>废弃塑料桶盖掉落，操作工右胳膊砸伤，损工60天。</t>
  </si>
  <si>
    <t>张建民</t>
  </si>
  <si>
    <t>脱硫塔</t>
  </si>
  <si>
    <t>抢救无效，死亡</t>
  </si>
  <si>
    <t>李刚</t>
  </si>
  <si>
    <t>环境除尘二层</t>
  </si>
  <si>
    <t>问题填写错误</t>
  </si>
  <si>
    <t>人员电击伤手臂，损工15天</t>
  </si>
  <si>
    <t>刘汉东</t>
  </si>
  <si>
    <t>东一</t>
  </si>
  <si>
    <t>√ 工具用完后放到指定位置
√ 定制摆放制度要严格遵守</t>
  </si>
  <si>
    <t>一名员工左肩骨折，送医治疗，休养100天。</t>
  </si>
  <si>
    <t>锅炉给水泵房西侧</t>
  </si>
  <si>
    <t>大风天气来临，高处易坠物及时清除</t>
  </si>
  <si>
    <t>× 清除电缆桥架盖板，防止掉落伤人，联系电工恢复</t>
  </si>
  <si>
    <t>一名员工左臂骨裂，送医治疗，休养100天。</t>
  </si>
  <si>
    <t>消防水池顶部</t>
  </si>
  <si>
    <t>能发现问题做好防范，尽快联系维修整改</t>
  </si>
  <si>
    <t>× 联系维修班更换加固腐蚀横档，防止人员受伤</t>
  </si>
  <si>
    <t>人员伤害，造成损工120天</t>
  </si>
  <si>
    <t>李树文</t>
  </si>
  <si>
    <t>东二斜桥中段</t>
  </si>
  <si>
    <t>√ 加装护栏
√ 人员操作时，运转设备要保持安全距离</t>
  </si>
  <si>
    <t>一名员工左脚踝扭伤，送医治疗，休养10天。</t>
  </si>
  <si>
    <t>曹青</t>
  </si>
  <si>
    <t>5号减温减压处</t>
  </si>
  <si>
    <t>踏板为防滑花纹板，只需加强警示</t>
  </si>
  <si>
    <t>× 悬挂安全警示牌，提高人员安全意识</t>
  </si>
  <si>
    <t>造成小腿轻微擦伤，经医务室简单处理后继续工作。</t>
  </si>
  <si>
    <t>孙绍华</t>
  </si>
  <si>
    <t>南脱硫循环槽护栏</t>
  </si>
  <si>
    <t>√ 加固护栏</t>
  </si>
  <si>
    <t>一人右手及肘部轻微擦伤不影响正常工作</t>
  </si>
  <si>
    <t>南脱硫西侧护栏</t>
  </si>
  <si>
    <t>√ 清除管道杂物</t>
  </si>
  <si>
    <t>一人右手部轻度擦伤不影响正常工作</t>
  </si>
  <si>
    <t>张静</t>
  </si>
  <si>
    <t>南风机南侧护栏</t>
  </si>
  <si>
    <t>王来忠</t>
  </si>
  <si>
    <t>东四东门</t>
  </si>
  <si>
    <t>应急响应</t>
  </si>
  <si>
    <t>√ 立即将安全通道打开</t>
  </si>
  <si>
    <t>损工五天</t>
  </si>
  <si>
    <t>胡红梅</t>
  </si>
  <si>
    <t>煤棚北侧水沟</t>
  </si>
  <si>
    <t>潜在后果一栏叙述不完整；严重性一栏不正确。</t>
  </si>
  <si>
    <t>操作工从平台跌落，头部重伤，送医抢救无效死亡。</t>
  </si>
  <si>
    <t>刘连刚</t>
  </si>
  <si>
    <t>平台良好承受强度是减少人员坠落的保障，马上修复加固</t>
  </si>
  <si>
    <t>× 加固平台腐蚀处，防止人员跌落受伤</t>
  </si>
  <si>
    <t>操作工腿部骨折损工3个月</t>
  </si>
  <si>
    <t>于明新</t>
  </si>
  <si>
    <t>制冷水池</t>
  </si>
  <si>
    <t>√ 覆盖盖板</t>
  </si>
  <si>
    <t>高处坠落，导致人员伤亡。</t>
  </si>
  <si>
    <t>刘洪升</t>
  </si>
  <si>
    <t>5米5焦炉上部</t>
  </si>
  <si>
    <t>系正常设备检查，不存在所述原因</t>
  </si>
  <si>
    <t>一人臂部受伤，损工37天。</t>
  </si>
  <si>
    <t>煤四厂房后侧</t>
  </si>
  <si>
    <t>√ 立即拉起警戒绳，设立警戒区，避免人员靠近危险区域。
√ 尽快将损坏部分进行修缮，彻底消除隐患。</t>
  </si>
  <si>
    <t>住院治疗10天，在家休息10天，损工20天</t>
  </si>
  <si>
    <t>姜宁</t>
  </si>
  <si>
    <t>新化学水加药间</t>
  </si>
  <si>
    <t>阀门紧固后不泄漏</t>
  </si>
  <si>
    <t>刘滨</t>
  </si>
  <si>
    <t>两盐配电箱</t>
  </si>
  <si>
    <t>√ 更换漏电保护器</t>
  </si>
  <si>
    <t>脚踝关节扭伤住院治疗损工37天。</t>
  </si>
  <si>
    <t>张国廷</t>
  </si>
  <si>
    <t>风险判断不合理</t>
  </si>
  <si>
    <t>右脚踝关节扭伤住院治疗，损工37天。</t>
  </si>
  <si>
    <t>被摘下的门擦伤胳膊</t>
  </si>
  <si>
    <t>刘云霞</t>
  </si>
  <si>
    <t>20-8-6</t>
  </si>
  <si>
    <t>空压机泵房</t>
  </si>
  <si>
    <t>√ 固定加固空压机挡板</t>
  </si>
  <si>
    <t>20-8-4</t>
  </si>
  <si>
    <t>送医院治疗，损工半月。</t>
  </si>
  <si>
    <t>李玉军</t>
  </si>
  <si>
    <t>汽机4米平台</t>
  </si>
  <si>
    <t>重复提报</t>
  </si>
  <si>
    <t>√ 维修制作合适高度的移动平台
√ 教育职工操作过程中注意安全</t>
  </si>
  <si>
    <t>制做可移动人字梯。</t>
  </si>
  <si>
    <t>电伤职工，造成损工两天</t>
  </si>
  <si>
    <t>职业健康管理不完善</t>
  </si>
  <si>
    <t>√ 加装接地线</t>
  </si>
  <si>
    <t>一人小臂骨折，损工105天。</t>
  </si>
  <si>
    <t>张海平</t>
  </si>
  <si>
    <t>煤八西侧</t>
  </si>
  <si>
    <t>√ 尽快将损坏部位进行修补。</t>
  </si>
  <si>
    <t>发生人员触电送医观察无大损伤在家休息一周损工7天。</t>
  </si>
  <si>
    <t>张忠恩</t>
  </si>
  <si>
    <t>吸氨氨水制备器</t>
  </si>
  <si>
    <t>√ 联系维修加焊地线
× 加危险标识提醒操作工注意</t>
  </si>
  <si>
    <t>已联系维修接好地线，第二条可以忽略加（危险标识提醒操作工注意）</t>
  </si>
  <si>
    <t>20-7-28</t>
  </si>
  <si>
    <t>√ 尽快维修
√ 加上巡查</t>
  </si>
  <si>
    <t>一人右手手腕扭伤 休息一会不影响工作</t>
  </si>
  <si>
    <t>√ 尽快更换
√ 维修休息安全</t>
  </si>
  <si>
    <t>东一源头</t>
  </si>
  <si>
    <t>√ 尽快更换</t>
  </si>
  <si>
    <t>操作工被坠落的撬杠砸伤头部，造成轻微脑震荡住院四天后康复出院</t>
  </si>
  <si>
    <t>2号风机出口桥架</t>
  </si>
  <si>
    <t>√ 清除撬杠</t>
  </si>
  <si>
    <t>火灾隐患</t>
  </si>
  <si>
    <t>马丛芳</t>
  </si>
  <si>
    <t>√ 拔下充电器
√ 规范使用充电器，不可长时间充电，不使用时拔下充电器</t>
  </si>
  <si>
    <t>砸伤脚面小拇指骨折</t>
  </si>
  <si>
    <t>刘金海</t>
  </si>
  <si>
    <t>东三</t>
  </si>
  <si>
    <t>√ 维修焊补把手
√ 人员使用时注意安全</t>
  </si>
  <si>
    <t>煤厂</t>
  </si>
  <si>
    <t>小腿外皮擦伤脚部崴伤送医务室治疗后回家休息7天</t>
  </si>
  <si>
    <t>刘家丰</t>
  </si>
  <si>
    <t>煤厂西侧水沟</t>
  </si>
  <si>
    <t>经查盖板符合要求</t>
  </si>
  <si>
    <t>腿部扭伤建议休息一周</t>
  </si>
  <si>
    <t>刘会建</t>
  </si>
  <si>
    <t>20-7-31</t>
  </si>
  <si>
    <t>化产两盐</t>
  </si>
  <si>
    <t>√ 添加遮挡板</t>
  </si>
  <si>
    <t>一名操作工被碱液灼伤，住院治疗一个月</t>
  </si>
  <si>
    <t>刘强</t>
  </si>
  <si>
    <t>√ 添加移动式洗眼器</t>
  </si>
  <si>
    <t>一人控微划伤继续上班。</t>
  </si>
  <si>
    <t>王晓伟</t>
  </si>
  <si>
    <t>20-7-5</t>
  </si>
  <si>
    <t>西二皮带</t>
  </si>
  <si>
    <t>√ 安装缺失防护栏
√ 人员操作时注意安全距离</t>
  </si>
  <si>
    <t>一人触电身亡</t>
  </si>
  <si>
    <t>路明</t>
  </si>
  <si>
    <t>南加药间</t>
  </si>
  <si>
    <t>√ 整理散落的线路</t>
  </si>
  <si>
    <t>操作工在巡检时被吹落的盖板砸到肩膀，造成骨折损工一个月</t>
  </si>
  <si>
    <t>老凉水架</t>
  </si>
  <si>
    <t>× 加固线缆盖板</t>
  </si>
  <si>
    <t>财产损失，设备设施停工。</t>
  </si>
  <si>
    <t>刘建东</t>
  </si>
  <si>
    <t>√ 维修焊补
√ 加强责任心，注意清减杂物</t>
  </si>
  <si>
    <t>一操作工左手手臂擦伤，无损工</t>
  </si>
  <si>
    <t>宋涛</t>
  </si>
  <si>
    <t>西五机头</t>
  </si>
  <si>
    <t>√ 严格按规定要求，工具使用后要摆放整齐！</t>
  </si>
  <si>
    <t>一员工右脚脚踝扭伤，损工35天</t>
  </si>
  <si>
    <t>滕建雷</t>
  </si>
  <si>
    <t>东五</t>
  </si>
  <si>
    <t>√ 立即恢复位置，并进行加固，以免造成人员再次伤害！</t>
  </si>
  <si>
    <t>财产损失，设备装置停工</t>
  </si>
  <si>
    <t>西一</t>
  </si>
  <si>
    <t>√ 维修更换挡皮
√ 开车时注意漏煤造成偏带，随时停车处理</t>
  </si>
  <si>
    <t>循环水泵</t>
  </si>
  <si>
    <t>若电缆外皮破损，会导致人身触电伤害</t>
  </si>
  <si>
    <t>2#循环水泵处</t>
  </si>
  <si>
    <t>× 整理电缆
× 教育职工注意提高防范意识</t>
  </si>
  <si>
    <t>35吨北侧压缩空气</t>
  </si>
  <si>
    <t>一名操作工脚部扭伤，休息一小时后复工</t>
  </si>
  <si>
    <t>张禄</t>
  </si>
  <si>
    <t>35吨锅炉北侧</t>
  </si>
  <si>
    <t>无需加爬梯</t>
  </si>
  <si>
    <t>一员工右脚脚踝错位，损工71天</t>
  </si>
  <si>
    <t>张胜文</t>
  </si>
  <si>
    <t>√ 责令岗位人员禁止私自开门，用完后及时关闭以免造成人员伤害</t>
  </si>
  <si>
    <t>腿部轻微划伤，不影响工作。</t>
  </si>
  <si>
    <t>好氧池南侧</t>
  </si>
  <si>
    <t>√ 阀门井盖板恢复</t>
  </si>
  <si>
    <t>就医检查左脚腕脱臼，治疗后在家休养5天</t>
  </si>
  <si>
    <t>职业安全卫生组织机构不健全</t>
  </si>
  <si>
    <t>崔爱丽</t>
  </si>
  <si>
    <t>碳化塔</t>
  </si>
  <si>
    <t>√ 清理地面杂物</t>
  </si>
  <si>
    <t>造成搬运工右胳膊肌肉砸伤，损工7天。</t>
  </si>
  <si>
    <t>徐洪涛</t>
  </si>
  <si>
    <t>西硫铵皮带机</t>
  </si>
  <si>
    <t>√ 维修皮带机转棍</t>
  </si>
  <si>
    <t>刘根元</t>
  </si>
  <si>
    <t>√ 抓紧维修制作
√ 加上巡查</t>
  </si>
  <si>
    <t>赵红</t>
  </si>
  <si>
    <t>东一东侧</t>
  </si>
  <si>
    <t>√ 安排人员将木板拆除
√ 人员经过时注意高空落物</t>
  </si>
  <si>
    <t>钱发林</t>
  </si>
  <si>
    <t>维修棚子</t>
  </si>
  <si>
    <t>√ 抓紧安装 加强防护
√ 加强巡查</t>
  </si>
  <si>
    <t>双腿双脚大面积灼伤，住院治疗四个月，误工一年</t>
  </si>
  <si>
    <t>√ 加工制作防护罩
√ 将地面管线阀门防护到位</t>
  </si>
  <si>
    <t>一人右手受伤 休息一会不影响工作</t>
  </si>
  <si>
    <t>李洋洋</t>
  </si>
  <si>
    <t>√ 尽快维修
√ 加强巡查</t>
  </si>
  <si>
    <t>张宏涛</t>
  </si>
  <si>
    <t>√ 尽快焊补维修
√ 注意安全</t>
  </si>
  <si>
    <t>人员伤害，损工7天</t>
  </si>
  <si>
    <t>西二</t>
  </si>
  <si>
    <t>√ 安装防护罩
√ 人员清理卫生时注意避开，防止触电</t>
  </si>
  <si>
    <t>一人头部受伤 损工91天</t>
  </si>
  <si>
    <t>庞守湘</t>
  </si>
  <si>
    <t>煤十顶</t>
  </si>
  <si>
    <t>√ 尽快加固修复
√ 加强巡查</t>
  </si>
  <si>
    <t>一人右手电伤 损工51天</t>
  </si>
  <si>
    <t>√ 抓紧更换
√ 注意安全</t>
  </si>
  <si>
    <t>化产车间焦油罐区</t>
  </si>
  <si>
    <t>气动阀关闭不动作，造成30分钟影响生产</t>
  </si>
  <si>
    <t>1号焦油罐顶</t>
  </si>
  <si>
    <t>√ 更换气源管</t>
  </si>
  <si>
    <t>一人损工25天</t>
  </si>
  <si>
    <t>√ 小平台撒走检查时用梯子</t>
  </si>
  <si>
    <t>一人双腿骨折 损工122天</t>
  </si>
  <si>
    <t>√ 尽快维修加固
√ 加强巡查</t>
  </si>
  <si>
    <t>刘延安</t>
  </si>
  <si>
    <t>√ 尽快更换修理
√ 注意安全</t>
  </si>
  <si>
    <t>一人右手手腕扭伤 一休息一会不影响工作</t>
  </si>
  <si>
    <t>刘军伟</t>
  </si>
  <si>
    <t>√ 加强巡查
√ 尽快整改</t>
  </si>
  <si>
    <t>手指轻微擦伤，没有收到伤害。</t>
  </si>
  <si>
    <t>√ 责令岗位员工立即将套管复位</t>
  </si>
  <si>
    <t>已恢复到规定位置</t>
  </si>
  <si>
    <t>一人肩膀划伤 损工20天</t>
  </si>
  <si>
    <t>刘江</t>
  </si>
  <si>
    <t>√ 尽快处理
√ 登高注意安全 做好安全防护</t>
  </si>
  <si>
    <t>皮带划伤</t>
  </si>
  <si>
    <t>东一地沟</t>
  </si>
  <si>
    <t>√ 停车处理
√ 检查皮带是否有损伤，及时处理</t>
  </si>
  <si>
    <t>备煤东线</t>
  </si>
  <si>
    <t>一人员电击伤</t>
  </si>
  <si>
    <t>刘春建</t>
  </si>
  <si>
    <t>废水池</t>
  </si>
  <si>
    <t>√ 将铁管移除
√ 人员操作时注意安全</t>
  </si>
  <si>
    <t>胶带划伤</t>
  </si>
  <si>
    <t>王国霞</t>
  </si>
  <si>
    <t>西五胶带机</t>
  </si>
  <si>
    <t>√ 责令岗位人员立即更换</t>
  </si>
  <si>
    <t>引起火灾</t>
  </si>
  <si>
    <t>√ 电工负责将灰尘处理干净
√ 加强巡检责任心，及时处理类似问题</t>
  </si>
  <si>
    <t>一人右膝盖轻微擦伤，休息一会儿，继续工作。</t>
  </si>
  <si>
    <t>西四南墙边水沟</t>
  </si>
  <si>
    <t>√ 责令岗位人员立即将缺失盖板补齐</t>
  </si>
  <si>
    <t>造成一人损工</t>
  </si>
  <si>
    <t>煤棚西北角</t>
  </si>
  <si>
    <t>√ 将盖板更换后盖好
√ 人员行走时注意安全</t>
  </si>
  <si>
    <t>一职工触电</t>
  </si>
  <si>
    <t>刘会明</t>
  </si>
  <si>
    <t>值班室仓库</t>
  </si>
  <si>
    <t>√ 清理杂物
√ 电器设备开关处严禁存放杂物</t>
  </si>
  <si>
    <t>造成损工七天</t>
  </si>
  <si>
    <t>洗车机水池东侧</t>
  </si>
  <si>
    <t>√ 关闭护栏门
√ 人员使用或工作完成后及时关闭护栏门</t>
  </si>
  <si>
    <t>设备损坏</t>
  </si>
  <si>
    <t>√ 维修更换连轴销
√ 操作时注意设备隐患，及时处理</t>
  </si>
  <si>
    <t>装置停工</t>
  </si>
  <si>
    <t>√ 维修紧固螺栓
√ 停止设备运转，维修后再作业</t>
  </si>
  <si>
    <t>一人右手臂皮肤烫伤、损工三天</t>
  </si>
  <si>
    <t>√ 蒸汽管线保温</t>
  </si>
  <si>
    <t>20-7-15</t>
  </si>
  <si>
    <t>绊倒</t>
  </si>
  <si>
    <t>西五涨紧立柱</t>
  </si>
  <si>
    <t>√ 人员行走时避开该区域
√ 将突起的部分铺整齐，防止绊倒</t>
  </si>
  <si>
    <t>√ 更换连轴销
√ 注意检查，开车时注意运转情况</t>
  </si>
  <si>
    <t>√ 尽快更换空段清扫器刮皮。</t>
  </si>
  <si>
    <t>一设备故障停机。</t>
  </si>
  <si>
    <t>√ 维修上齐螺丝
√ 人员注意露煤情况</t>
  </si>
  <si>
    <t>部分设备不能正常运行</t>
  </si>
  <si>
    <t>√ 清洗油头
√ 更换新油头</t>
  </si>
  <si>
    <t>已更换新油头，问题解决。</t>
  </si>
  <si>
    <t>右手手腕骨折， 损工91天。</t>
  </si>
  <si>
    <t>邢志鹏</t>
  </si>
  <si>
    <t>煤场料口</t>
  </si>
  <si>
    <t>√ 维修割除多余钢筋
√ 人员操作时注意脚下安全</t>
  </si>
  <si>
    <t>运动物伤害</t>
  </si>
  <si>
    <t>李述芳</t>
  </si>
  <si>
    <t>√ 清理积煤
√ 岗位卫生及时清理，达到标准要求</t>
  </si>
  <si>
    <t>√ 立即将损坏部位修复，加强隐患排查治理。
√ 加强安全教育培训，严格遵守劳动纪律及相关安全规定，做好安全辨识，提高安全意识。</t>
  </si>
  <si>
    <t>付洪亮</t>
  </si>
  <si>
    <t>5.5米捣鼓机西侧平</t>
  </si>
  <si>
    <t>× 增设踢脚板
× 加强安全设施检查</t>
  </si>
  <si>
    <t>陈兴友</t>
  </si>
  <si>
    <t>√ 停机使用，联系维修进行维修</t>
  </si>
  <si>
    <t>影响正常生产作业至少四个小时。</t>
  </si>
  <si>
    <t>郭红岩</t>
  </si>
  <si>
    <t>送煤车大链条</t>
  </si>
  <si>
    <t>× 维修更换
× 加强维护</t>
  </si>
  <si>
    <t>造成影响正常生产作业，至少四小时。</t>
  </si>
  <si>
    <t>右脚踝关节轻微扭伤，休养5天。</t>
  </si>
  <si>
    <t>√ 联系维修进行加装塌脚板，增加人员下车安全性！</t>
  </si>
  <si>
    <t>腿部轻微擦伤</t>
  </si>
  <si>
    <t>牟增书</t>
  </si>
  <si>
    <t>3#煤棚西</t>
  </si>
  <si>
    <t>√ 做好警示标志，组织人员更换新盖板，</t>
  </si>
  <si>
    <t>化产车间两盐</t>
  </si>
  <si>
    <t>11kw电机烧毁，损失2000元</t>
  </si>
  <si>
    <t>两盐配电室</t>
  </si>
  <si>
    <t>√ 检查更换接触器</t>
  </si>
  <si>
    <t>5米5焦炉炉顶</t>
  </si>
  <si>
    <t>人员手臂划伤，损工事故</t>
  </si>
  <si>
    <t>刘明明</t>
  </si>
  <si>
    <t>导烟车</t>
  </si>
  <si>
    <t>× 更换玻璃
× 固定玻璃</t>
  </si>
  <si>
    <t>一人脚部骨折损工事件</t>
  </si>
  <si>
    <t>刘建恩</t>
  </si>
  <si>
    <t>× 整形处理
× 更换加固</t>
  </si>
  <si>
    <t>装置停用</t>
  </si>
  <si>
    <t>王安磊</t>
  </si>
  <si>
    <t>√ 组织岗位人员进行立辊更换</t>
  </si>
  <si>
    <t>电机进水造成短路，致使电机烧毁，造成财产损失2000元左右</t>
  </si>
  <si>
    <t>焦油罐区 液下泵</t>
  </si>
  <si>
    <t>× 更换防雨罩</t>
  </si>
  <si>
    <t>轻微划伤</t>
  </si>
  <si>
    <t>赵兴辉</t>
  </si>
  <si>
    <t>西五斜桥</t>
  </si>
  <si>
    <t>√ 组织岗位人员立即清楚包边以免造成人员伤害！</t>
  </si>
  <si>
    <t>造成人员摔伤！</t>
  </si>
  <si>
    <t>√ 立即整改关闭，岗位人员禁止开启护栏门！</t>
  </si>
  <si>
    <t>一人尾椎受伤，损工120天。</t>
  </si>
  <si>
    <t>张勇</t>
  </si>
  <si>
    <t>√ 立即修复该处护栏，并对辖区内护栏进行隐患排查。</t>
  </si>
  <si>
    <t>崔健</t>
  </si>
  <si>
    <t>√ 立既整改！严格按要求工具定置摆放</t>
  </si>
  <si>
    <t>郭永生</t>
  </si>
  <si>
    <t>√ 尽快更换托辊。</t>
  </si>
  <si>
    <t>王江东</t>
  </si>
  <si>
    <t>√ 尽快将松动螺栓紧固，并采取措施确保螺栓不再松动。</t>
  </si>
  <si>
    <t>一名员工颈部划伤，损工10天</t>
  </si>
  <si>
    <t>√ 清除杂物，加强排查。</t>
  </si>
  <si>
    <t>徐永亮</t>
  </si>
  <si>
    <t>√ 立即将盖子复位，严格落实检修安全规定。</t>
  </si>
  <si>
    <t>一人手臂受伤损工111天</t>
  </si>
  <si>
    <t>毕兵</t>
  </si>
  <si>
    <t>点名室</t>
  </si>
  <si>
    <t>√ 严格按照检修规定，设立安全监护人员，并做好安全监护。</t>
  </si>
  <si>
    <t>一人左手腕扭伤，无法正常进行化验操作一周</t>
  </si>
  <si>
    <t>孙国莉</t>
  </si>
  <si>
    <t>20-8-1</t>
  </si>
  <si>
    <t>好氧池取样过道</t>
  </si>
  <si>
    <t>√ 加装照明灯</t>
  </si>
  <si>
    <t>氨水进入眼中，眼角膜受伤。住院治疗五天，损工五天。</t>
  </si>
  <si>
    <t>赵延学</t>
  </si>
  <si>
    <t>√ 按标准佩戴好防护用品</t>
  </si>
  <si>
    <t>一人小腿扭伤损工十天</t>
  </si>
  <si>
    <t>张茂顺</t>
  </si>
  <si>
    <t>5.5米送煤车</t>
  </si>
  <si>
    <t>× 焊补加固
× 维修处理</t>
  </si>
  <si>
    <t>触电 和触电后的二次事故</t>
  </si>
  <si>
    <t>南风机电捕</t>
  </si>
  <si>
    <t>× 查明原因，更换线缆</t>
  </si>
  <si>
    <t>腿部骨折，住院治疗一个月，在家休养二个月损工三个月</t>
  </si>
  <si>
    <t>建设项目“三同时”制度未落实</t>
  </si>
  <si>
    <t>× 停止施工，进行安全培训</t>
  </si>
  <si>
    <t>医生诊断脚部腕骨扭伤住院2天回家休养7天，造成一人损工事件</t>
  </si>
  <si>
    <t>主控楼</t>
  </si>
  <si>
    <t>√ 井盖就位</t>
  </si>
  <si>
    <t>一名操作人员巡检至此，煤气浓度大造成煤气中毒送医治疗60天。</t>
  </si>
  <si>
    <t>南风机房</t>
  </si>
  <si>
    <t>√ 重新调整阀位</t>
  </si>
  <si>
    <t>部分区域环境污染</t>
  </si>
  <si>
    <t>肖永杰</t>
  </si>
  <si>
    <t>3号站</t>
  </si>
  <si>
    <t>× 联系维修人员对提升泵机封检查漏水原因
× 维修人员检查机封破损，对机封进行更换</t>
  </si>
  <si>
    <t>污水处理车间1</t>
  </si>
  <si>
    <t>人员受伤，造成损工事故</t>
  </si>
  <si>
    <t>田珍</t>
  </si>
  <si>
    <t>除油池</t>
  </si>
  <si>
    <t>√ 焊接加固爬梯台阶</t>
  </si>
  <si>
    <t>一操作工额头轻微擦伤，无损工。</t>
  </si>
  <si>
    <t>吴轲</t>
  </si>
  <si>
    <t>√ 清理地面铁管</t>
  </si>
  <si>
    <t>一人脚部轻微伤</t>
  </si>
  <si>
    <t>赵延平</t>
  </si>
  <si>
    <t>煤棚侧西</t>
  </si>
  <si>
    <t>√ 尽快更换盖板。</t>
  </si>
  <si>
    <t>高空坠物，造成左侧肩部损伤，锁骨骨折需住院治疗损工2个月</t>
  </si>
  <si>
    <t>张建华</t>
  </si>
  <si>
    <t>35T锅炉本体</t>
  </si>
  <si>
    <t>造成污泥沉降，出水不合格</t>
  </si>
  <si>
    <t>刘俊东</t>
  </si>
  <si>
    <t>20-8-8</t>
  </si>
  <si>
    <t>生化缺氧池</t>
  </si>
  <si>
    <t>× 联系电工人员对老化电缆处进行重新对接包扎</t>
  </si>
  <si>
    <t>一名巡检工触电后及时脱离，轻微电击伤害</t>
  </si>
  <si>
    <t>西硫铵南管廊</t>
  </si>
  <si>
    <t>√ 线缆接口裸露进行防护</t>
  </si>
  <si>
    <t>财产损失2-10万元</t>
  </si>
  <si>
    <t>毛兴波</t>
  </si>
  <si>
    <t>压滤房配电柜</t>
  </si>
  <si>
    <t>× 联系电工维修人员对变频器插座重新包扎固定</t>
  </si>
  <si>
    <t>被电击伤，损工十天。</t>
  </si>
  <si>
    <t>1＃饱和器南</t>
  </si>
  <si>
    <t>√ 加固焊接接地线</t>
  </si>
  <si>
    <t>新化学水工段</t>
  </si>
  <si>
    <t>线路短路跳闸，造成设备停止，造成停产事故</t>
  </si>
  <si>
    <t>南冷凝</t>
  </si>
  <si>
    <t>一人脚踝扭伤，损工七天。</t>
  </si>
  <si>
    <t>牟圆圆</t>
  </si>
  <si>
    <t>√ 规范放置蒸汽吹扫管</t>
  </si>
  <si>
    <t>硫铵四楼</t>
  </si>
  <si>
    <t>化产，深度脱硫</t>
  </si>
  <si>
    <t>两名人员烧伤死亡</t>
  </si>
  <si>
    <t>脱硫塔顶部</t>
  </si>
  <si>
    <t>√ 添加避雷针</t>
  </si>
  <si>
    <t>短路，停电，造成财产损失</t>
  </si>
  <si>
    <t>老化水配室</t>
  </si>
</sst>
</file>

<file path=xl/styles.xml><?xml version="1.0" encoding="utf-8"?>
<styleSheet xmlns="http://schemas.openxmlformats.org/spreadsheetml/2006/main" xml:space="preserve">
  <numFmts count="0"/>
  <fonts count="6">
    <font>
      <b val="0"/>
      <i val="0"/>
      <strike val="0"/>
      <u val="none"/>
      <sz val="8"/>
      <color rgb="FF000000"/>
      <name val="Arial"/>
    </font>
    <font>
      <b val="1"/>
      <i val="0"/>
      <strike val="0"/>
      <u val="none"/>
      <sz val="16"/>
      <color rgb="FF000000"/>
      <name val="Arial"/>
    </font>
    <font>
      <b val="0"/>
      <i val="0"/>
      <strike val="0"/>
      <u val="none"/>
      <sz val="10"/>
      <color rgb="FF000000"/>
      <name val="Arial"/>
    </font>
    <font>
      <b val="0"/>
      <i val="0"/>
      <strike val="0"/>
      <u val="none"/>
      <sz val="8"/>
      <color rgb="0000CD"/>
      <name val="Arial"/>
    </font>
    <font>
      <b val="0"/>
      <i val="0"/>
      <strike val="0"/>
      <u val="none"/>
      <sz val="8"/>
      <color rgb="000000"/>
      <name val="Arial"/>
    </font>
    <font>
      <b val="0"/>
      <i val="0"/>
      <strike val="0"/>
      <u val="none"/>
      <sz val="8"/>
      <color rgb="DC143C"/>
      <name val="Arial"/>
    </font>
  </fonts>
  <fills count="10">
    <fill>
      <patternFill patternType="none"/>
    </fill>
    <fill>
      <patternFill patternType="gray125">
        <fgColor rgb="FFFFFFFF"/>
        <bgColor rgb="FF000000"/>
      </patternFill>
    </fill>
    <fill>
      <patternFill patternType="solid">
        <fgColor rgb="FFC6E0B4"/>
        <bgColor rgb="FF000000"/>
      </patternFill>
    </fill>
    <fill>
      <patternFill patternType="solid">
        <fgColor rgb="FFBDD7EE"/>
        <bgColor rgb="FF000000"/>
      </patternFill>
    </fill>
    <fill>
      <patternFill patternType="solid">
        <fgColor rgb="FFA0D565"/>
        <bgColor rgb="FF000000"/>
      </patternFill>
    </fill>
    <fill>
      <patternFill patternType="solid">
        <fgColor rgb="FFFFD85D"/>
        <bgColor rgb="FF000000"/>
      </patternFill>
    </fill>
    <fill>
      <patternFill patternType="solid">
        <fgColor rgb="FF90EE90"/>
        <bgColor rgb="FF000000"/>
      </patternFill>
    </fill>
    <fill>
      <patternFill patternType="solid">
        <fgColor rgb="FF3CB371"/>
        <bgColor rgb="FF000000"/>
      </patternFill>
    </fill>
    <fill>
      <patternFill patternType="solid">
        <fgColor rgb="FFF8F8FF"/>
        <bgColor rgb="FF000000"/>
      </patternFill>
    </fill>
    <fill>
      <patternFill patternType="solid">
        <fgColor rgb="FFFFD70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27">
    <xf xfId="0" fontId="0" numFmtId="0" fillId="0" borderId="0" applyFont="0" applyNumberFormat="0" applyFill="0" applyBorder="0" applyAlignment="0">
      <alignment horizontal="general" vertical="top" textRotation="0" wrapText="true" shrinkToFit="false"/>
    </xf>
    <xf xfId="0" fontId="0" numFmtId="0" fillId="0" borderId="0" applyFont="0" applyNumberFormat="0" applyFill="0" applyBorder="0" applyAlignment="1">
      <alignment horizontal="center" vertical="top" textRotation="0" wrapText="true" shrinkToFit="false"/>
    </xf>
    <xf xfId="0" fontId="1" numFmtId="0" fillId="0" borderId="0" applyFont="1" applyNumberFormat="0" applyFill="0" applyBorder="0" applyAlignment="1">
      <alignment horizontal="center" vertical="top" textRotation="0" wrapText="true" shrinkToFit="false"/>
    </xf>
    <xf xfId="0" fontId="0" numFmtId="0" fillId="2" borderId="1" applyFont="0" applyNumberFormat="0" applyFill="1" applyBorder="1" applyAlignment="1">
      <alignment horizontal="center" vertical="top" textRotation="0" wrapText="true" shrinkToFit="false"/>
    </xf>
    <xf xfId="0" fontId="0" numFmtId="0" fillId="2" borderId="1" applyFont="0" applyNumberFormat="0" applyFill="1" applyBorder="1" applyAlignment="0">
      <alignment horizontal="general" vertical="top" textRotation="0" wrapText="true" shrinkToFit="false"/>
    </xf>
    <xf xfId="0" fontId="0" numFmtId="0" fillId="3" borderId="1" applyFont="0" applyNumberFormat="0" applyFill="1" applyBorder="1" applyAlignment="1">
      <alignment horizontal="center" vertical="top" textRotation="0" wrapText="true" shrinkToFit="false"/>
    </xf>
    <xf xfId="0" fontId="0" numFmtId="0" fillId="3" borderId="1" applyFont="0" applyNumberFormat="0" applyFill="1" applyBorder="1" applyAlignment="0">
      <alignment horizontal="general" vertical="top" textRotation="0" wrapText="true" shrinkToFit="false"/>
    </xf>
    <xf xfId="0" fontId="0" numFmtId="0" fillId="4" borderId="1" applyFont="0" applyNumberFormat="0" applyFill="1" applyBorder="1" applyAlignment="0">
      <alignment horizontal="general" vertical="top" textRotation="0" wrapText="true" shrinkToFit="false"/>
    </xf>
    <xf xfId="0" fontId="0" numFmtId="0" fillId="5" borderId="1" applyFont="0" applyNumberFormat="0" applyFill="1" applyBorder="1" applyAlignment="1">
      <alignment horizontal="center" vertical="top" textRotation="0" wrapText="true" shrinkToFit="false"/>
    </xf>
    <xf xfId="0" fontId="0" numFmtId="0" fillId="5" borderId="1" applyFont="0" applyNumberFormat="0" applyFill="1" applyBorder="1" applyAlignment="0">
      <alignment horizontal="general" vertical="top" textRotation="0" wrapText="true" shrinkToFit="false"/>
    </xf>
    <xf xfId="0" fontId="2" numFmtId="0" fillId="2" borderId="1" applyFont="1" applyNumberFormat="0" applyFill="1" applyBorder="1" applyAlignment="1">
      <alignment horizontal="center" vertical="top" textRotation="0" wrapText="true" shrinkToFit="false"/>
    </xf>
    <xf xfId="0" fontId="2" numFmtId="0" fillId="2" borderId="1" applyFont="1" applyNumberFormat="0" applyFill="1" applyBorder="1" applyAlignment="0">
      <alignment horizontal="general" vertical="top" textRotation="0" wrapText="true" shrinkToFit="false"/>
    </xf>
    <xf xfId="0" fontId="2" numFmtId="0" fillId="3" borderId="1" applyFont="1" applyNumberFormat="0" applyFill="1" applyBorder="1" applyAlignment="1">
      <alignment horizontal="center" vertical="top" textRotation="0" wrapText="true" shrinkToFit="false"/>
    </xf>
    <xf xfId="0" fontId="2" numFmtId="0" fillId="3" borderId="1" applyFont="1" applyNumberFormat="0" applyFill="1" applyBorder="1" applyAlignment="0">
      <alignment horizontal="general" vertical="top" textRotation="0" wrapText="true" shrinkToFit="false"/>
    </xf>
    <xf xfId="0" fontId="2" numFmtId="0" fillId="4" borderId="1" applyFont="1" applyNumberFormat="0" applyFill="1" applyBorder="1" applyAlignment="1">
      <alignment horizontal="center" vertical="top" textRotation="0" wrapText="true" shrinkToFit="false"/>
    </xf>
    <xf xfId="0" fontId="2" numFmtId="0" fillId="4" borderId="1" applyFont="1" applyNumberFormat="0" applyFill="1" applyBorder="1" applyAlignment="0">
      <alignment horizontal="general" vertical="top" textRotation="0" wrapText="true" shrinkToFit="false"/>
    </xf>
    <xf xfId="0" fontId="2" numFmtId="0" fillId="5" borderId="1" applyFont="1" applyNumberFormat="0" applyFill="1" applyBorder="1" applyAlignment="1">
      <alignment horizontal="center" vertical="top" textRotation="0" wrapText="true" shrinkToFit="false"/>
    </xf>
    <xf xfId="0" fontId="2" numFmtId="0" fillId="5" borderId="1" applyFont="1" applyNumberFormat="0" applyFill="1" applyBorder="1" applyAlignment="0">
      <alignment horizontal="general" vertical="top" textRotation="0" wrapText="true" shrinkToFit="false"/>
    </xf>
    <xf xfId="0" fontId="2" numFmtId="0" fillId="0" borderId="0" applyFont="1" applyNumberFormat="0" applyFill="0" applyBorder="0" applyAlignment="0">
      <alignment horizontal="general" vertical="top" textRotation="0" wrapText="true" shrinkToFit="false"/>
    </xf>
    <xf xfId="0" fontId="0" numFmtId="0" fillId="0" borderId="1" applyFont="0" applyNumberFormat="0" applyFill="0" applyBorder="1" applyAlignment="0">
      <alignment horizontal="general" vertical="top" textRotation="0" wrapText="true" shrinkToFit="false"/>
    </xf>
    <xf xfId="0" fontId="0" numFmtId="0" fillId="6" borderId="1" applyFont="0" applyNumberFormat="0" applyFill="1" applyBorder="1" applyAlignment="0">
      <alignment horizontal="general" vertical="top" textRotation="0" wrapText="true" shrinkToFit="false"/>
    </xf>
    <xf xfId="0" fontId="3" numFmtId="0" fillId="0" borderId="1" applyFont="1" applyNumberFormat="0" applyFill="0" applyBorder="1" applyAlignment="0">
      <alignment horizontal="general" vertical="top" textRotation="0" wrapText="true" shrinkToFit="false"/>
    </xf>
    <xf xfId="0" fontId="4" numFmtId="0" fillId="0" borderId="1" applyFont="1" applyNumberFormat="0" applyFill="0" applyBorder="1" applyAlignment="0">
      <alignment horizontal="general" vertical="top" textRotation="0" wrapText="true" shrinkToFit="false"/>
    </xf>
    <xf xfId="0" fontId="0" numFmtId="0" fillId="7" borderId="1" applyFont="0" applyNumberFormat="0" applyFill="1" applyBorder="1" applyAlignment="0">
      <alignment horizontal="general" vertical="top" textRotation="0" wrapText="true" shrinkToFit="false"/>
    </xf>
    <xf xfId="0" fontId="5" numFmtId="0" fillId="0" borderId="1" applyFont="1" applyNumberFormat="0" applyFill="0" applyBorder="1" applyAlignment="0">
      <alignment horizontal="general" vertical="top" textRotation="0" wrapText="true" shrinkToFit="false"/>
    </xf>
    <xf xfId="0" fontId="0" numFmtId="0" fillId="8" borderId="1" applyFont="0" applyNumberFormat="0" applyFill="1" applyBorder="1" applyAlignment="0">
      <alignment horizontal="general" vertical="top" textRotation="0" wrapText="true" shrinkToFit="false"/>
    </xf>
    <xf xfId="0" fontId="0" numFmtId="0" fillId="9" borderId="1" applyFont="0" applyNumberFormat="0" applyFill="1" applyBorder="1" applyAlignment="0">
      <alignment horizontal="general"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henontech.com/fieldsafety/harzard/harzard_show.php?rid=920&amp;url=harzardrecs.php" TargetMode="External"/><Relationship Id="rId_hyperlink_2" Type="http://schemas.openxmlformats.org/officeDocument/2006/relationships/hyperlink" Target="http://henontech.com/fieldsafety/harzard/harzard_show.php?rid=923&amp;url=harzardrecs.php" TargetMode="External"/><Relationship Id="rId_hyperlink_3" Type="http://schemas.openxmlformats.org/officeDocument/2006/relationships/hyperlink" Target="http://henontech.com/fieldsafety/harzard/harzard_show.php?rid=923&amp;url=harzardrecs.php" TargetMode="External"/><Relationship Id="rId_hyperlink_4" Type="http://schemas.openxmlformats.org/officeDocument/2006/relationships/hyperlink" Target="http://henontech.com/fieldsafety/harzard/harzard_show.php?rid=924&amp;url=harzardrecs.php" TargetMode="External"/><Relationship Id="rId_hyperlink_5" Type="http://schemas.openxmlformats.org/officeDocument/2006/relationships/hyperlink" Target="http://henontech.com/fieldsafety/harzard/harzard_show.php?rid=926&amp;url=harzardrecs.php" TargetMode="External"/><Relationship Id="rId_hyperlink_6" Type="http://schemas.openxmlformats.org/officeDocument/2006/relationships/hyperlink" Target="http://henontech.com/fieldsafety/harzard/harzard_show.php?rid=927&amp;url=harzardrecs.php" TargetMode="External"/><Relationship Id="rId_hyperlink_7" Type="http://schemas.openxmlformats.org/officeDocument/2006/relationships/hyperlink" Target="http://henontech.com/fieldsafety/harzard/harzard_show.php?rid=928&amp;url=harzardrecs.php" TargetMode="External"/><Relationship Id="rId_hyperlink_8" Type="http://schemas.openxmlformats.org/officeDocument/2006/relationships/hyperlink" Target="http://henontech.com/fieldsafety/harzard/harzard_show.php?rid=929&amp;url=harzardrecs.php" TargetMode="External"/><Relationship Id="rId_hyperlink_9" Type="http://schemas.openxmlformats.org/officeDocument/2006/relationships/hyperlink" Target="http://henontech.com/fieldsafety/harzard/harzard_show.php?rid=930&amp;url=harzardrecs.php" TargetMode="External"/><Relationship Id="rId_hyperlink_10" Type="http://schemas.openxmlformats.org/officeDocument/2006/relationships/hyperlink" Target="http://henontech.com/fieldsafety/harzard/harzard_show.php?rid=931&amp;url=harzardrecs.php" TargetMode="External"/><Relationship Id="rId_hyperlink_11" Type="http://schemas.openxmlformats.org/officeDocument/2006/relationships/hyperlink" Target="http://henontech.com/fieldsafety/harzard/harzard_show.php?rid=932&amp;url=harzardrecs.php" TargetMode="External"/><Relationship Id="rId_hyperlink_12" Type="http://schemas.openxmlformats.org/officeDocument/2006/relationships/hyperlink" Target="http://henontech.com/fieldsafety/harzard/harzard_show.php?rid=933&amp;url=harzardrecs.php" TargetMode="External"/><Relationship Id="rId_hyperlink_13" Type="http://schemas.openxmlformats.org/officeDocument/2006/relationships/hyperlink" Target="http://henontech.com/fieldsafety/harzard/harzard_show.php?rid=934&amp;url=harzardrecs.php" TargetMode="External"/><Relationship Id="rId_hyperlink_14" Type="http://schemas.openxmlformats.org/officeDocument/2006/relationships/hyperlink" Target="http://henontech.com/fieldsafety/harzard/harzard_show.php?rid=935&amp;url=harzardrecs.php" TargetMode="External"/><Relationship Id="rId_hyperlink_15" Type="http://schemas.openxmlformats.org/officeDocument/2006/relationships/hyperlink" Target="http://henontech.com/fieldsafety/harzard/harzard_show.php?rid=938&amp;url=harzardrecs.php" TargetMode="External"/><Relationship Id="rId_hyperlink_16" Type="http://schemas.openxmlformats.org/officeDocument/2006/relationships/hyperlink" Target="http://henontech.com/fieldsafety/harzard/harzard_show.php?rid=938&amp;url=harzardrecs.php" TargetMode="External"/><Relationship Id="rId_hyperlink_17" Type="http://schemas.openxmlformats.org/officeDocument/2006/relationships/hyperlink" Target="http://henontech.com/fieldsafety/harzard/harzard_show.php?rid=941&amp;url=harzardrecs.php" TargetMode="External"/><Relationship Id="rId_hyperlink_18" Type="http://schemas.openxmlformats.org/officeDocument/2006/relationships/hyperlink" Target="http://henontech.com/fieldsafety/harzard/harzard_show.php?rid=942&amp;url=harzardrecs.php" TargetMode="External"/><Relationship Id="rId_hyperlink_19" Type="http://schemas.openxmlformats.org/officeDocument/2006/relationships/hyperlink" Target="http://henontech.com/fieldsafety/harzard/harzard_show.php?rid=943&amp;url=harzardrecs.php" TargetMode="External"/><Relationship Id="rId_hyperlink_20" Type="http://schemas.openxmlformats.org/officeDocument/2006/relationships/hyperlink" Target="http://henontech.com/fieldsafety/harzard/harzard_show.php?rid=943&amp;url=harzardrecs.php" TargetMode="External"/><Relationship Id="rId_hyperlink_21" Type="http://schemas.openxmlformats.org/officeDocument/2006/relationships/hyperlink" Target="http://henontech.com/fieldsafety/harzard/harzard_show.php?rid=944&amp;url=harzardrecs.php" TargetMode="External"/><Relationship Id="rId_hyperlink_22" Type="http://schemas.openxmlformats.org/officeDocument/2006/relationships/hyperlink" Target="http://henontech.com/fieldsafety/harzard/harzard_show.php?rid=945&amp;url=harzardrecs.php" TargetMode="External"/><Relationship Id="rId_hyperlink_23" Type="http://schemas.openxmlformats.org/officeDocument/2006/relationships/hyperlink" Target="http://henontech.com/fieldsafety/harzard/harzard_show.php?rid=946&amp;url=harzardrecs.php" TargetMode="External"/><Relationship Id="rId_hyperlink_24" Type="http://schemas.openxmlformats.org/officeDocument/2006/relationships/hyperlink" Target="http://henontech.com/fieldsafety/harzard/harzard_show.php?rid=947&amp;url=harzardrecs.php" TargetMode="External"/><Relationship Id="rId_hyperlink_25" Type="http://schemas.openxmlformats.org/officeDocument/2006/relationships/hyperlink" Target="http://henontech.com/fieldsafety/harzard/harzard_show.php?rid=948&amp;url=harzardrecs.php" TargetMode="External"/><Relationship Id="rId_hyperlink_26" Type="http://schemas.openxmlformats.org/officeDocument/2006/relationships/hyperlink" Target="http://henontech.com/fieldsafety/harzard/harzard_show.php?rid=949&amp;url=harzardrecs.php" TargetMode="External"/><Relationship Id="rId_hyperlink_27" Type="http://schemas.openxmlformats.org/officeDocument/2006/relationships/hyperlink" Target="http://henontech.com/fieldsafety/harzard/harzard_show.php?rid=951&amp;url=harzardrecs.php" TargetMode="External"/><Relationship Id="rId_hyperlink_28" Type="http://schemas.openxmlformats.org/officeDocument/2006/relationships/hyperlink" Target="http://henontech.com/fieldsafety/harzard/harzard_show.php?rid=952&amp;url=harzardrecs.php" TargetMode="External"/><Relationship Id="rId_hyperlink_29" Type="http://schemas.openxmlformats.org/officeDocument/2006/relationships/hyperlink" Target="http://henontech.com/fieldsafety/harzard/harzard_show.php?rid=953&amp;url=harzardrecs.php" TargetMode="External"/><Relationship Id="rId_hyperlink_30" Type="http://schemas.openxmlformats.org/officeDocument/2006/relationships/hyperlink" Target="http://henontech.com/fieldsafety/harzard/harzard_show.php?rid=954&amp;url=harzardrecs.php" TargetMode="External"/><Relationship Id="rId_hyperlink_31" Type="http://schemas.openxmlformats.org/officeDocument/2006/relationships/hyperlink" Target="http://henontech.com/fieldsafety/harzard/harzard_show.php?rid=955&amp;url=harzardrecs.php" TargetMode="External"/><Relationship Id="rId_hyperlink_32" Type="http://schemas.openxmlformats.org/officeDocument/2006/relationships/hyperlink" Target="http://henontech.com/fieldsafety/harzard/harzard_show.php?rid=956&amp;url=harzardrecs.php" TargetMode="External"/><Relationship Id="rId_hyperlink_33" Type="http://schemas.openxmlformats.org/officeDocument/2006/relationships/hyperlink" Target="http://henontech.com/fieldsafety/harzard/harzard_show.php?rid=957&amp;url=harzardrecs.php" TargetMode="External"/><Relationship Id="rId_hyperlink_34" Type="http://schemas.openxmlformats.org/officeDocument/2006/relationships/hyperlink" Target="http://henontech.com/fieldsafety/harzard/harzard_show.php?rid=958&amp;url=harzardrecs.php" TargetMode="External"/><Relationship Id="rId_hyperlink_35" Type="http://schemas.openxmlformats.org/officeDocument/2006/relationships/hyperlink" Target="http://henontech.com/fieldsafety/harzard/harzard_show.php?rid=959&amp;url=harzardrecs.php" TargetMode="External"/><Relationship Id="rId_hyperlink_36" Type="http://schemas.openxmlformats.org/officeDocument/2006/relationships/hyperlink" Target="http://henontech.com/fieldsafety/harzard/harzard_show.php?rid=960&amp;url=harzardrecs.php" TargetMode="External"/><Relationship Id="rId_hyperlink_37" Type="http://schemas.openxmlformats.org/officeDocument/2006/relationships/hyperlink" Target="http://henontech.com/fieldsafety/harzard/harzard_show.php?rid=961&amp;url=harzardrecs.php" TargetMode="External"/><Relationship Id="rId_hyperlink_38" Type="http://schemas.openxmlformats.org/officeDocument/2006/relationships/hyperlink" Target="http://henontech.com/fieldsafety/harzard/harzard_show.php?rid=962&amp;url=harzardrecs.php" TargetMode="External"/><Relationship Id="rId_hyperlink_39" Type="http://schemas.openxmlformats.org/officeDocument/2006/relationships/hyperlink" Target="http://henontech.com/fieldsafety/harzard/harzard_show.php?rid=963&amp;url=harzardrecs.php" TargetMode="External"/><Relationship Id="rId_hyperlink_40" Type="http://schemas.openxmlformats.org/officeDocument/2006/relationships/hyperlink" Target="http://henontech.com/fieldsafety/harzard/harzard_show.php?rid=964&amp;url=harzardrecs.php" TargetMode="External"/><Relationship Id="rId_hyperlink_41" Type="http://schemas.openxmlformats.org/officeDocument/2006/relationships/hyperlink" Target="http://henontech.com/fieldsafety/harzard/harzard_show.php?rid=965&amp;url=harzardrecs.php" TargetMode="External"/><Relationship Id="rId_hyperlink_42" Type="http://schemas.openxmlformats.org/officeDocument/2006/relationships/hyperlink" Target="http://henontech.com/fieldsafety/harzard/harzard_show.php?rid=966&amp;url=harzardrecs.php" TargetMode="External"/><Relationship Id="rId_hyperlink_43" Type="http://schemas.openxmlformats.org/officeDocument/2006/relationships/hyperlink" Target="http://henontech.com/fieldsafety/harzard/harzard_show.php?rid=967&amp;url=harzardrecs.php" TargetMode="External"/><Relationship Id="rId_hyperlink_44" Type="http://schemas.openxmlformats.org/officeDocument/2006/relationships/hyperlink" Target="http://henontech.com/fieldsafety/harzard/harzard_show.php?rid=968&amp;url=harzardrecs.php" TargetMode="External"/><Relationship Id="rId_hyperlink_45" Type="http://schemas.openxmlformats.org/officeDocument/2006/relationships/hyperlink" Target="http://henontech.com/fieldsafety/harzard/harzard_show.php?rid=969&amp;url=harzardrecs.php" TargetMode="External"/><Relationship Id="rId_hyperlink_46" Type="http://schemas.openxmlformats.org/officeDocument/2006/relationships/hyperlink" Target="http://henontech.com/fieldsafety/harzard/harzard_show.php?rid=970&amp;url=harzardrecs.php" TargetMode="External"/><Relationship Id="rId_hyperlink_47" Type="http://schemas.openxmlformats.org/officeDocument/2006/relationships/hyperlink" Target="http://henontech.com/fieldsafety/harzard/harzard_show.php?rid=971&amp;url=harzardrecs.php" TargetMode="External"/><Relationship Id="rId_hyperlink_48" Type="http://schemas.openxmlformats.org/officeDocument/2006/relationships/hyperlink" Target="http://henontech.com/fieldsafety/harzard/harzard_show.php?rid=972&amp;url=harzardrecs.php" TargetMode="External"/><Relationship Id="rId_hyperlink_49" Type="http://schemas.openxmlformats.org/officeDocument/2006/relationships/hyperlink" Target="http://henontech.com/fieldsafety/harzard/harzard_show.php?rid=973&amp;url=harzardrecs.php" TargetMode="External"/><Relationship Id="rId_hyperlink_50" Type="http://schemas.openxmlformats.org/officeDocument/2006/relationships/hyperlink" Target="http://henontech.com/fieldsafety/harzard/harzard_show.php?rid=974&amp;url=harzardrecs.php" TargetMode="External"/><Relationship Id="rId_hyperlink_51" Type="http://schemas.openxmlformats.org/officeDocument/2006/relationships/hyperlink" Target="http://henontech.com/fieldsafety/harzard/harzard_show.php?rid=975&amp;url=harzardrecs.php" TargetMode="External"/><Relationship Id="rId_hyperlink_52" Type="http://schemas.openxmlformats.org/officeDocument/2006/relationships/hyperlink" Target="http://henontech.com/fieldsafety/harzard/harzard_show.php?rid=976&amp;url=harzardrecs.php" TargetMode="External"/><Relationship Id="rId_hyperlink_53" Type="http://schemas.openxmlformats.org/officeDocument/2006/relationships/hyperlink" Target="http://henontech.com/fieldsafety/harzard/harzard_show.php?rid=977&amp;url=harzardrecs.php" TargetMode="External"/><Relationship Id="rId_hyperlink_54" Type="http://schemas.openxmlformats.org/officeDocument/2006/relationships/hyperlink" Target="http://henontech.com/fieldsafety/harzard/harzard_show.php?rid=978&amp;url=harzardrecs.php" TargetMode="External"/><Relationship Id="rId_hyperlink_55" Type="http://schemas.openxmlformats.org/officeDocument/2006/relationships/hyperlink" Target="http://henontech.com/fieldsafety/harzard/harzard_show.php?rid=979&amp;url=harzardrecs.php" TargetMode="External"/><Relationship Id="rId_hyperlink_56" Type="http://schemas.openxmlformats.org/officeDocument/2006/relationships/hyperlink" Target="http://henontech.com/fieldsafety/harzard/harzard_show.php?rid=980&amp;url=harzardrecs.php" TargetMode="External"/><Relationship Id="rId_hyperlink_57" Type="http://schemas.openxmlformats.org/officeDocument/2006/relationships/hyperlink" Target="http://henontech.com/fieldsafety/harzard/harzard_show.php?rid=981&amp;url=harzardrecs.php" TargetMode="External"/><Relationship Id="rId_hyperlink_58" Type="http://schemas.openxmlformats.org/officeDocument/2006/relationships/hyperlink" Target="http://henontech.com/fieldsafety/harzard/harzard_show.php?rid=983&amp;url=harzardrecs.php" TargetMode="External"/><Relationship Id="rId_hyperlink_59" Type="http://schemas.openxmlformats.org/officeDocument/2006/relationships/hyperlink" Target="http://henontech.com/fieldsafety/harzard/harzard_show.php?rid=985&amp;url=harzardrecs.php" TargetMode="External"/><Relationship Id="rId_hyperlink_60" Type="http://schemas.openxmlformats.org/officeDocument/2006/relationships/hyperlink" Target="http://henontech.com/fieldsafety/harzard/harzard_show.php?rid=986&amp;url=harzardrecs.php" TargetMode="External"/><Relationship Id="rId_hyperlink_61" Type="http://schemas.openxmlformats.org/officeDocument/2006/relationships/hyperlink" Target="http://henontech.com/fieldsafety/harzard/harzard_show.php?rid=987&amp;url=harzardrecs.php" TargetMode="External"/><Relationship Id="rId_hyperlink_62" Type="http://schemas.openxmlformats.org/officeDocument/2006/relationships/hyperlink" Target="http://henontech.com/fieldsafety/harzard/harzard_show.php?rid=988&amp;url=harzardrecs.php" TargetMode="External"/><Relationship Id="rId_hyperlink_63" Type="http://schemas.openxmlformats.org/officeDocument/2006/relationships/hyperlink" Target="http://henontech.com/fieldsafety/harzard/harzard_show.php?rid=989&amp;url=harzardrecs.php" TargetMode="External"/><Relationship Id="rId_hyperlink_64" Type="http://schemas.openxmlformats.org/officeDocument/2006/relationships/hyperlink" Target="http://henontech.com/fieldsafety/harzard/harzard_show.php?rid=990&amp;url=harzardrecs.php" TargetMode="External"/><Relationship Id="rId_hyperlink_65" Type="http://schemas.openxmlformats.org/officeDocument/2006/relationships/hyperlink" Target="http://henontech.com/fieldsafety/harzard/harzard_show.php?rid=991&amp;url=harzardrecs.php" TargetMode="External"/><Relationship Id="rId_hyperlink_66" Type="http://schemas.openxmlformats.org/officeDocument/2006/relationships/hyperlink" Target="http://henontech.com/fieldsafety/harzard/harzard_show.php?rid=992&amp;url=harzardrecs.php" TargetMode="External"/><Relationship Id="rId_hyperlink_67" Type="http://schemas.openxmlformats.org/officeDocument/2006/relationships/hyperlink" Target="http://henontech.com/fieldsafety/harzard/harzard_show.php?rid=993&amp;url=harzardrecs.php" TargetMode="External"/><Relationship Id="rId_hyperlink_68" Type="http://schemas.openxmlformats.org/officeDocument/2006/relationships/hyperlink" Target="http://henontech.com/fieldsafety/harzard/harzard_show.php?rid=994&amp;url=harzardrecs.php" TargetMode="External"/><Relationship Id="rId_hyperlink_69" Type="http://schemas.openxmlformats.org/officeDocument/2006/relationships/hyperlink" Target="http://henontech.com/fieldsafety/harzard/harzard_show.php?rid=995&amp;url=harzardrecs.php" TargetMode="External"/><Relationship Id="rId_hyperlink_70" Type="http://schemas.openxmlformats.org/officeDocument/2006/relationships/hyperlink" Target="http://henontech.com/fieldsafety/harzard/harzard_show.php?rid=996&amp;url=harzardrecs.php" TargetMode="External"/><Relationship Id="rId_hyperlink_71" Type="http://schemas.openxmlformats.org/officeDocument/2006/relationships/hyperlink" Target="http://henontech.com/fieldsafety/harzard/harzard_show.php?rid=997&amp;url=harzardrecs.php" TargetMode="External"/><Relationship Id="rId_hyperlink_72" Type="http://schemas.openxmlformats.org/officeDocument/2006/relationships/hyperlink" Target="http://henontech.com/fieldsafety/harzard/harzard_show.php?rid=998&amp;url=harzardrecs.php" TargetMode="External"/><Relationship Id="rId_hyperlink_73" Type="http://schemas.openxmlformats.org/officeDocument/2006/relationships/hyperlink" Target="http://henontech.com/fieldsafety/harzard/harzard_show.php?rid=999&amp;url=harzardrecs.php" TargetMode="External"/><Relationship Id="rId_hyperlink_74" Type="http://schemas.openxmlformats.org/officeDocument/2006/relationships/hyperlink" Target="http://henontech.com/fieldsafety/harzard/harzard_show.php?rid=1000&amp;url=harzardrecs.php" TargetMode="External"/><Relationship Id="rId_hyperlink_75" Type="http://schemas.openxmlformats.org/officeDocument/2006/relationships/hyperlink" Target="http://henontech.com/fieldsafety/harzard/harzard_show.php?rid=1001&amp;url=harzardrecs.php" TargetMode="External"/><Relationship Id="rId_hyperlink_76" Type="http://schemas.openxmlformats.org/officeDocument/2006/relationships/hyperlink" Target="http://henontech.com/fieldsafety/harzard/harzard_show.php?rid=1002&amp;url=harzardrecs.php" TargetMode="External"/><Relationship Id="rId_hyperlink_77" Type="http://schemas.openxmlformats.org/officeDocument/2006/relationships/hyperlink" Target="http://henontech.com/fieldsafety/harzard/harzard_show.php?rid=1003&amp;url=harzardrecs.php" TargetMode="External"/><Relationship Id="rId_hyperlink_78" Type="http://schemas.openxmlformats.org/officeDocument/2006/relationships/hyperlink" Target="http://henontech.com/fieldsafety/harzard/harzard_show.php?rid=1006&amp;url=harzardrecs.php" TargetMode="External"/><Relationship Id="rId_hyperlink_79" Type="http://schemas.openxmlformats.org/officeDocument/2006/relationships/hyperlink" Target="http://henontech.com/fieldsafety/harzard/harzard_show.php?rid=1007&amp;url=harzardrecs.php" TargetMode="External"/><Relationship Id="rId_hyperlink_80" Type="http://schemas.openxmlformats.org/officeDocument/2006/relationships/hyperlink" Target="http://henontech.com/fieldsafety/harzard/harzard_show.php?rid=1008&amp;url=harzardrecs.php" TargetMode="External"/><Relationship Id="rId_hyperlink_81" Type="http://schemas.openxmlformats.org/officeDocument/2006/relationships/hyperlink" Target="http://henontech.com/fieldsafety/harzard/harzard_show.php?rid=1009&amp;url=harzardrecs.php" TargetMode="External"/><Relationship Id="rId_hyperlink_82" Type="http://schemas.openxmlformats.org/officeDocument/2006/relationships/hyperlink" Target="http://henontech.com/fieldsafety/harzard/harzard_show.php?rid=1012&amp;url=harzardrecs.php" TargetMode="External"/><Relationship Id="rId_hyperlink_83" Type="http://schemas.openxmlformats.org/officeDocument/2006/relationships/hyperlink" Target="http://henontech.com/fieldsafety/harzard/harzard_show.php?rid=1013&amp;url=harzardrecs.php" TargetMode="External"/><Relationship Id="rId_hyperlink_84" Type="http://schemas.openxmlformats.org/officeDocument/2006/relationships/hyperlink" Target="http://henontech.com/fieldsafety/harzard/harzard_show.php?rid=1014&amp;url=harzardrecs.php" TargetMode="External"/><Relationship Id="rId_hyperlink_85" Type="http://schemas.openxmlformats.org/officeDocument/2006/relationships/hyperlink" Target="http://henontech.com/fieldsafety/harzard/harzard_show.php?rid=1015&amp;url=harzardrecs.php" TargetMode="External"/><Relationship Id="rId_hyperlink_86" Type="http://schemas.openxmlformats.org/officeDocument/2006/relationships/hyperlink" Target="http://henontech.com/fieldsafety/harzard/harzard_show.php?rid=1016&amp;url=harzardrecs.php" TargetMode="External"/><Relationship Id="rId_hyperlink_87" Type="http://schemas.openxmlformats.org/officeDocument/2006/relationships/hyperlink" Target="http://henontech.com/fieldsafety/harzard/harzard_show.php?rid=1017&amp;url=harzardrecs.php" TargetMode="External"/><Relationship Id="rId_hyperlink_88" Type="http://schemas.openxmlformats.org/officeDocument/2006/relationships/hyperlink" Target="http://henontech.com/fieldsafety/harzard/harzard_show.php?rid=1018&amp;url=harzardrecs.php" TargetMode="External"/><Relationship Id="rId_hyperlink_89" Type="http://schemas.openxmlformats.org/officeDocument/2006/relationships/hyperlink" Target="http://henontech.com/fieldsafety/harzard/harzard_show.php?rid=1022&amp;url=harzardrecs.php" TargetMode="External"/><Relationship Id="rId_hyperlink_90" Type="http://schemas.openxmlformats.org/officeDocument/2006/relationships/hyperlink" Target="http://henontech.com/fieldsafety/harzard/harzard_show.php?rid=1023&amp;url=harzardrecs.php" TargetMode="External"/><Relationship Id="rId_hyperlink_91" Type="http://schemas.openxmlformats.org/officeDocument/2006/relationships/hyperlink" Target="http://henontech.com/fieldsafety/harzard/harzard_show.php?rid=1024&amp;url=harzardrecs.php" TargetMode="External"/><Relationship Id="rId_hyperlink_92" Type="http://schemas.openxmlformats.org/officeDocument/2006/relationships/hyperlink" Target="http://henontech.com/fieldsafety/harzard/harzard_show.php?rid=1025&amp;url=harzardrecs.php" TargetMode="External"/><Relationship Id="rId_hyperlink_93" Type="http://schemas.openxmlformats.org/officeDocument/2006/relationships/hyperlink" Target="http://henontech.com/fieldsafety/harzard/harzard_show.php?rid=1026&amp;url=harzardrecs.php" TargetMode="External"/><Relationship Id="rId_hyperlink_94" Type="http://schemas.openxmlformats.org/officeDocument/2006/relationships/hyperlink" Target="http://henontech.com/fieldsafety/harzard/harzard_show.php?rid=1031&amp;url=harzardrecs.php" TargetMode="External"/><Relationship Id="rId_hyperlink_95" Type="http://schemas.openxmlformats.org/officeDocument/2006/relationships/hyperlink" Target="http://henontech.com/fieldsafety/harzard/harzard_show.php?rid=1032&amp;url=harzardrecs.php" TargetMode="External"/><Relationship Id="rId_hyperlink_96" Type="http://schemas.openxmlformats.org/officeDocument/2006/relationships/hyperlink" Target="http://henontech.com/fieldsafety/harzard/harzard_show.php?rid=1033&amp;url=harzardrecs.php" TargetMode="External"/><Relationship Id="rId_hyperlink_97" Type="http://schemas.openxmlformats.org/officeDocument/2006/relationships/hyperlink" Target="http://henontech.com/fieldsafety/harzard/harzard_show.php?rid=1034&amp;url=harzardrecs.php" TargetMode="External"/><Relationship Id="rId_hyperlink_98" Type="http://schemas.openxmlformats.org/officeDocument/2006/relationships/hyperlink" Target="http://henontech.com/fieldsafety/harzard/harzard_show.php?rid=1035&amp;url=harzardrecs.php" TargetMode="External"/><Relationship Id="rId_hyperlink_99" Type="http://schemas.openxmlformats.org/officeDocument/2006/relationships/hyperlink" Target="http://henontech.com/fieldsafety/harzard/harzard_show.php?rid=1038&amp;url=harzardrecs.php" TargetMode="External"/><Relationship Id="rId_hyperlink_100" Type="http://schemas.openxmlformats.org/officeDocument/2006/relationships/hyperlink" Target="http://henontech.com/fieldsafety/harzard/harzard_show.php?rid=1039&amp;url=harzardrecs.php" TargetMode="External"/><Relationship Id="rId_hyperlink_101" Type="http://schemas.openxmlformats.org/officeDocument/2006/relationships/hyperlink" Target="http://henontech.com/fieldsafety/harzard/harzard_show.php?rid=1040&amp;url=harzardrecs.php" TargetMode="External"/><Relationship Id="rId_hyperlink_102" Type="http://schemas.openxmlformats.org/officeDocument/2006/relationships/hyperlink" Target="http://henontech.com/fieldsafety/harzard/harzard_show.php?rid=1041&amp;url=harzardrecs.php" TargetMode="External"/><Relationship Id="rId_hyperlink_103" Type="http://schemas.openxmlformats.org/officeDocument/2006/relationships/hyperlink" Target="http://henontech.com/fieldsafety/harzard/harzard_show.php?rid=1042&amp;url=harzardrecs.php" TargetMode="External"/><Relationship Id="rId_hyperlink_104" Type="http://schemas.openxmlformats.org/officeDocument/2006/relationships/hyperlink" Target="http://henontech.com/fieldsafety/harzard/harzard_show.php?rid=1043&amp;url=harzardrecs.php" TargetMode="External"/><Relationship Id="rId_hyperlink_105" Type="http://schemas.openxmlformats.org/officeDocument/2006/relationships/hyperlink" Target="http://henontech.com/fieldsafety/harzard/harzard_show.php?rid=1050&amp;url=harzardrecs.php" TargetMode="External"/><Relationship Id="rId_hyperlink_106" Type="http://schemas.openxmlformats.org/officeDocument/2006/relationships/hyperlink" Target="http://henontech.com/fieldsafety/harzard/harzard_show.php?rid=1059&amp;url=harzardrecs.php" TargetMode="External"/><Relationship Id="rId_hyperlink_107" Type="http://schemas.openxmlformats.org/officeDocument/2006/relationships/hyperlink" Target="http://henontech.com/fieldsafety/harzard/harzard_show.php?rid=1068&amp;url=harzardrecs.php" TargetMode="External"/><Relationship Id="rId_hyperlink_108" Type="http://schemas.openxmlformats.org/officeDocument/2006/relationships/hyperlink" Target="http://henontech.com/fieldsafety/harzard/harzard_show.php?rid=1069&amp;url=harzardrecs.php" TargetMode="External"/><Relationship Id="rId_hyperlink_109" Type="http://schemas.openxmlformats.org/officeDocument/2006/relationships/hyperlink" Target="http://henontech.com/fieldsafety/harzard/harzard_show.php?rid=1086&amp;url=harzardrecs.php" TargetMode="External"/><Relationship Id="rId_hyperlink_110" Type="http://schemas.openxmlformats.org/officeDocument/2006/relationships/hyperlink" Target="http://henontech.com/fieldsafety/harzard/harzard_show.php?rid=1087&amp;url=harzardrecs.php" TargetMode="External"/><Relationship Id="rId_hyperlink_111" Type="http://schemas.openxmlformats.org/officeDocument/2006/relationships/hyperlink" Target="http://henontech.com/fieldsafety/harzard/harzard_show.php?rid=1088&amp;url=harzardrecs.php" TargetMode="External"/><Relationship Id="rId_hyperlink_112" Type="http://schemas.openxmlformats.org/officeDocument/2006/relationships/hyperlink" Target="http://henontech.com/fieldsafety/harzard/harzard_show.php?rid=2764&amp;url=harzardrecs.php" TargetMode="External"/><Relationship Id="rId_hyperlink_113" Type="http://schemas.openxmlformats.org/officeDocument/2006/relationships/hyperlink" Target="http://henontech.com/fieldsafety/harzard/harzard_show.php?rid=3066&amp;url=harzardrecs.php" TargetMode="External"/><Relationship Id="rId_hyperlink_114" Type="http://schemas.openxmlformats.org/officeDocument/2006/relationships/hyperlink" Target="http://henontech.com/fieldsafety/harzard/harzard_show.php?rid=3082&amp;url=harzardrecs.php" TargetMode="External"/><Relationship Id="rId_hyperlink_115" Type="http://schemas.openxmlformats.org/officeDocument/2006/relationships/hyperlink" Target="http://henontech.com/fieldsafety/harzard/harzard_show.php?rid=3083&amp;url=harzardrecs.php" TargetMode="External"/><Relationship Id="rId_hyperlink_116" Type="http://schemas.openxmlformats.org/officeDocument/2006/relationships/hyperlink" Target="http://henontech.com/fieldsafety/harzard/harzard_show.php?rid=3094&amp;url=harzardrecs.php" TargetMode="External"/><Relationship Id="rId_hyperlink_117" Type="http://schemas.openxmlformats.org/officeDocument/2006/relationships/hyperlink" Target="http://henontech.com/fieldsafety/harzard/harzard_show.php?rid=3099&amp;url=harzardrecs.php" TargetMode="External"/><Relationship Id="rId_hyperlink_118" Type="http://schemas.openxmlformats.org/officeDocument/2006/relationships/hyperlink" Target="http://henontech.com/fieldsafety/harzard/harzard_show.php?rid=3109&amp;url=harzardrecs.php" TargetMode="External"/><Relationship Id="rId_hyperlink_119" Type="http://schemas.openxmlformats.org/officeDocument/2006/relationships/hyperlink" Target="http://henontech.com/fieldsafety/harzard/harzard_show.php?rid=3142&amp;url=harzardrecs.php" TargetMode="External"/><Relationship Id="rId_hyperlink_120" Type="http://schemas.openxmlformats.org/officeDocument/2006/relationships/hyperlink" Target="http://henontech.com/fieldsafety/harzard/harzard_show.php?rid=3143&amp;url=harzardrecs.php" TargetMode="External"/><Relationship Id="rId_hyperlink_121" Type="http://schemas.openxmlformats.org/officeDocument/2006/relationships/hyperlink" Target="http://henontech.com/fieldsafety/harzard/harzard_show.php?rid=3145&amp;url=harzardrecs.php" TargetMode="External"/><Relationship Id="rId_hyperlink_122" Type="http://schemas.openxmlformats.org/officeDocument/2006/relationships/hyperlink" Target="http://henontech.com/fieldsafety/harzard/harzard_show.php?rid=3156&amp;url=harzardrecs.php" TargetMode="External"/><Relationship Id="rId_hyperlink_123" Type="http://schemas.openxmlformats.org/officeDocument/2006/relationships/hyperlink" Target="http://henontech.com/fieldsafety/harzard/harzard_show.php?rid=3167&amp;url=harzardrecs.php" TargetMode="External"/><Relationship Id="rId_hyperlink_124" Type="http://schemas.openxmlformats.org/officeDocument/2006/relationships/hyperlink" Target="http://henontech.com/fieldsafety/harzard/harzard_show.php?rid=3187&amp;url=harzardrecs.php" TargetMode="External"/><Relationship Id="rId_hyperlink_125" Type="http://schemas.openxmlformats.org/officeDocument/2006/relationships/hyperlink" Target="http://henontech.com/fieldsafety/harzard/harzard_show.php?rid=3188&amp;url=harzardrecs.php" TargetMode="External"/><Relationship Id="rId_hyperlink_126" Type="http://schemas.openxmlformats.org/officeDocument/2006/relationships/hyperlink" Target="http://henontech.com/fieldsafety/harzard/harzard_show.php?rid=3213&amp;url=harzardrecs.php" TargetMode="External"/><Relationship Id="rId_hyperlink_127" Type="http://schemas.openxmlformats.org/officeDocument/2006/relationships/hyperlink" Target="http://henontech.com/fieldsafety/harzard/harzard_show.php?rid=3223&amp;url=harzardrecs.php" TargetMode="External"/><Relationship Id="rId_hyperlink_128" Type="http://schemas.openxmlformats.org/officeDocument/2006/relationships/hyperlink" Target="http://henontech.com/fieldsafety/harzard/harzard_show.php?rid=3265&amp;url=harzardrecs.php" TargetMode="External"/><Relationship Id="rId_hyperlink_129" Type="http://schemas.openxmlformats.org/officeDocument/2006/relationships/hyperlink" Target="http://henontech.com/fieldsafety/harzard/harzard_show.php?rid=3266&amp;url=harzardrecs.php" TargetMode="External"/><Relationship Id="rId_hyperlink_130" Type="http://schemas.openxmlformats.org/officeDocument/2006/relationships/hyperlink" Target="http://henontech.com/fieldsafety/harzard/harzard_show.php?rid=3276&amp;url=harzardrecs.php" TargetMode="External"/><Relationship Id="rId_hyperlink_131" Type="http://schemas.openxmlformats.org/officeDocument/2006/relationships/hyperlink" Target="http://henontech.com/fieldsafety/harzard/harzard_show.php?rid=3283&amp;url=harzardrecs.php" TargetMode="External"/><Relationship Id="rId_hyperlink_132" Type="http://schemas.openxmlformats.org/officeDocument/2006/relationships/hyperlink" Target="http://henontech.com/fieldsafety/harzard/harzard_show.php?rid=3314&amp;url=harzardrecs.php" TargetMode="External"/><Relationship Id="rId_hyperlink_133" Type="http://schemas.openxmlformats.org/officeDocument/2006/relationships/hyperlink" Target="http://henontech.com/fieldsafety/harzard/harzard_show.php?rid=3323&amp;url=harzardrecs.php" TargetMode="External"/><Relationship Id="rId_hyperlink_134" Type="http://schemas.openxmlformats.org/officeDocument/2006/relationships/hyperlink" Target="http://henontech.com/fieldsafety/harzard/harzard_show.php?rid=3326&amp;url=harzardrecs.php" TargetMode="External"/><Relationship Id="rId_hyperlink_135" Type="http://schemas.openxmlformats.org/officeDocument/2006/relationships/hyperlink" Target="http://henontech.com/fieldsafety/harzard/harzard_show.php?rid=3337&amp;url=harzardrecs.php" TargetMode="External"/><Relationship Id="rId_hyperlink_136" Type="http://schemas.openxmlformats.org/officeDocument/2006/relationships/hyperlink" Target="http://henontech.com/fieldsafety/harzard/harzard_show.php?rid=3349&amp;url=harzardrecs.php" TargetMode="External"/><Relationship Id="rId_hyperlink_137" Type="http://schemas.openxmlformats.org/officeDocument/2006/relationships/hyperlink" Target="http://henontech.com/fieldsafety/harzard/harzard_show.php?rid=3353&amp;url=harzardrecs.php" TargetMode="External"/><Relationship Id="rId_hyperlink_138" Type="http://schemas.openxmlformats.org/officeDocument/2006/relationships/hyperlink" Target="http://henontech.com/fieldsafety/harzard/harzard_show.php?rid=3354&amp;url=harzardrecs.php" TargetMode="External"/><Relationship Id="rId_hyperlink_139" Type="http://schemas.openxmlformats.org/officeDocument/2006/relationships/hyperlink" Target="http://henontech.com/fieldsafety/harzard/harzard_show.php?rid=3369&amp;url=harzardrecs.php" TargetMode="External"/><Relationship Id="rId_hyperlink_140" Type="http://schemas.openxmlformats.org/officeDocument/2006/relationships/hyperlink" Target="http://henontech.com/fieldsafety/harzard/harzard_show.php?rid=3376&amp;url=harzardrecs.php" TargetMode="External"/><Relationship Id="rId_hyperlink_141" Type="http://schemas.openxmlformats.org/officeDocument/2006/relationships/hyperlink" Target="http://henontech.com/fieldsafety/harzard/harzard_show.php?rid=3387&amp;url=harzardrecs.php" TargetMode="External"/><Relationship Id="rId_hyperlink_142" Type="http://schemas.openxmlformats.org/officeDocument/2006/relationships/hyperlink" Target="http://henontech.com/fieldsafety/harzard/harzard_show.php?rid=3390&amp;url=harzardrecs.php" TargetMode="External"/><Relationship Id="rId_hyperlink_143" Type="http://schemas.openxmlformats.org/officeDocument/2006/relationships/hyperlink" Target="http://henontech.com/fieldsafety/harzard/harzard_show.php?rid=3394&amp;url=harzardrecs.php" TargetMode="External"/><Relationship Id="rId_hyperlink_144" Type="http://schemas.openxmlformats.org/officeDocument/2006/relationships/hyperlink" Target="http://henontech.com/fieldsafety/harzard/harzard_show.php?rid=3395&amp;url=harzardrecs.php" TargetMode="External"/><Relationship Id="rId_hyperlink_145" Type="http://schemas.openxmlformats.org/officeDocument/2006/relationships/hyperlink" Target="http://henontech.com/fieldsafety/harzard/harzard_show.php?rid=3398&amp;url=harzardrecs.php" TargetMode="External"/><Relationship Id="rId_hyperlink_146" Type="http://schemas.openxmlformats.org/officeDocument/2006/relationships/hyperlink" Target="http://henontech.com/fieldsafety/harzard/harzard_show.php?rid=3400&amp;url=harzardrecs.php" TargetMode="External"/><Relationship Id="rId_hyperlink_147" Type="http://schemas.openxmlformats.org/officeDocument/2006/relationships/hyperlink" Target="http://henontech.com/fieldsafety/harzard/harzard_show.php?rid=3405&amp;url=harzardrecs.php" TargetMode="External"/><Relationship Id="rId_hyperlink_148" Type="http://schemas.openxmlformats.org/officeDocument/2006/relationships/hyperlink" Target="http://henontech.com/fieldsafety/harzard/harzard_show.php?rid=3419&amp;url=harzardrecs.php" TargetMode="External"/><Relationship Id="rId_hyperlink_149" Type="http://schemas.openxmlformats.org/officeDocument/2006/relationships/hyperlink" Target="http://henontech.com/fieldsafety/harzard/harzard_show.php?rid=3421&amp;url=harzardrecs.php" TargetMode="External"/><Relationship Id="rId_hyperlink_150" Type="http://schemas.openxmlformats.org/officeDocument/2006/relationships/hyperlink" Target="http://henontech.com/fieldsafety/harzard/harzard_show.php?rid=3431&amp;url=harzardrecs.php" TargetMode="External"/><Relationship Id="rId_hyperlink_151" Type="http://schemas.openxmlformats.org/officeDocument/2006/relationships/hyperlink" Target="http://henontech.com/fieldsafety/harzard/harzard_show.php?rid=3494&amp;url=harzardrecs.php" TargetMode="External"/><Relationship Id="rId_hyperlink_152" Type="http://schemas.openxmlformats.org/officeDocument/2006/relationships/hyperlink" Target="http://henontech.com/fieldsafety/harzard/harzard_show.php?rid=3495&amp;url=harzardrecs.php" TargetMode="External"/><Relationship Id="rId_hyperlink_153" Type="http://schemas.openxmlformats.org/officeDocument/2006/relationships/hyperlink" Target="http://henontech.com/fieldsafety/harzard/harzard_show.php?rid=3496&amp;url=harzardrecs.php" TargetMode="External"/><Relationship Id="rId_hyperlink_154" Type="http://schemas.openxmlformats.org/officeDocument/2006/relationships/hyperlink" Target="http://henontech.com/fieldsafety/harzard/harzard_show.php?rid=3498&amp;url=harzardrecs.php" TargetMode="External"/><Relationship Id="rId_hyperlink_155" Type="http://schemas.openxmlformats.org/officeDocument/2006/relationships/hyperlink" Target="http://henontech.com/fieldsafety/harzard/harzard_show.php?rid=3502&amp;url=harzardrecs.php" TargetMode="External"/><Relationship Id="rId_hyperlink_156" Type="http://schemas.openxmlformats.org/officeDocument/2006/relationships/hyperlink" Target="http://henontech.com/fieldsafety/harzard/harzard_show.php?rid=3522&amp;url=harzardrecs.php" TargetMode="External"/><Relationship Id="rId_hyperlink_157" Type="http://schemas.openxmlformats.org/officeDocument/2006/relationships/hyperlink" Target="http://henontech.com/fieldsafety/harzard/harzard_show.php?rid=3524&amp;url=harzardrecs.php" TargetMode="External"/><Relationship Id="rId_hyperlink_158" Type="http://schemas.openxmlformats.org/officeDocument/2006/relationships/hyperlink" Target="http://henontech.com/fieldsafety/harzard/harzard_show.php?rid=3532&amp;url=harzardrecs.php" TargetMode="External"/><Relationship Id="rId_hyperlink_159" Type="http://schemas.openxmlformats.org/officeDocument/2006/relationships/hyperlink" Target="http://henontech.com/fieldsafety/harzard/harzard_show.php?rid=3533&amp;url=harzardrecs.php" TargetMode="External"/><Relationship Id="rId_hyperlink_160" Type="http://schemas.openxmlformats.org/officeDocument/2006/relationships/hyperlink" Target="http://henontech.com/fieldsafety/harzard/harzard_show.php?rid=3534&amp;url=harzardrecs.php" TargetMode="External"/><Relationship Id="rId_hyperlink_161" Type="http://schemas.openxmlformats.org/officeDocument/2006/relationships/hyperlink" Target="http://henontech.com/fieldsafety/harzard/harzard_show.php?rid=3535&amp;url=harzardrecs.php" TargetMode="External"/><Relationship Id="rId_hyperlink_162" Type="http://schemas.openxmlformats.org/officeDocument/2006/relationships/hyperlink" Target="http://henontech.com/fieldsafety/harzard/harzard_show.php?rid=3545&amp;url=harzardrecs.php" TargetMode="External"/><Relationship Id="rId_hyperlink_163" Type="http://schemas.openxmlformats.org/officeDocument/2006/relationships/hyperlink" Target="http://henontech.com/fieldsafety/harzard/harzard_show.php?rid=3547&amp;url=harzardrecs.php" TargetMode="External"/><Relationship Id="rId_hyperlink_164" Type="http://schemas.openxmlformats.org/officeDocument/2006/relationships/hyperlink" Target="http://henontech.com/fieldsafety/harzard/harzard_show.php?rid=3548&amp;url=harzardrecs.php" TargetMode="External"/><Relationship Id="rId_hyperlink_165" Type="http://schemas.openxmlformats.org/officeDocument/2006/relationships/hyperlink" Target="http://henontech.com/fieldsafety/harzard/harzard_show.php?rid=3554&amp;url=harzardrecs.php" TargetMode="External"/><Relationship Id="rId_hyperlink_166" Type="http://schemas.openxmlformats.org/officeDocument/2006/relationships/hyperlink" Target="http://henontech.com/fieldsafety/harzard/harzard_show.php?rid=3557&amp;url=harzardrecs.php" TargetMode="External"/><Relationship Id="rId_hyperlink_167" Type="http://schemas.openxmlformats.org/officeDocument/2006/relationships/hyperlink" Target="http://henontech.com/fieldsafety/harzard/harzard_show.php?rid=3558&amp;url=harzardrecs.php" TargetMode="External"/><Relationship Id="rId_hyperlink_168" Type="http://schemas.openxmlformats.org/officeDocument/2006/relationships/hyperlink" Target="http://henontech.com/fieldsafety/harzard/harzard_show.php?rid=3560&amp;url=harzardrecs.php" TargetMode="External"/><Relationship Id="rId_hyperlink_169" Type="http://schemas.openxmlformats.org/officeDocument/2006/relationships/hyperlink" Target="http://henontech.com/fieldsafety/harzard/harzard_show.php?rid=3561&amp;url=harzardrecs.php" TargetMode="External"/><Relationship Id="rId_hyperlink_170" Type="http://schemas.openxmlformats.org/officeDocument/2006/relationships/hyperlink" Target="http://henontech.com/fieldsafety/harzard/harzard_show.php?rid=3562&amp;url=harzardrecs.php" TargetMode="External"/><Relationship Id="rId_hyperlink_171" Type="http://schemas.openxmlformats.org/officeDocument/2006/relationships/hyperlink" Target="http://henontech.com/fieldsafety/harzard/harzard_show.php?rid=3563&amp;url=harzardrecs.php" TargetMode="External"/><Relationship Id="rId_hyperlink_172" Type="http://schemas.openxmlformats.org/officeDocument/2006/relationships/hyperlink" Target="http://henontech.com/fieldsafety/harzard/harzard_show.php?rid=3564&amp;url=harzardrecs.php" TargetMode="External"/><Relationship Id="rId_hyperlink_173" Type="http://schemas.openxmlformats.org/officeDocument/2006/relationships/hyperlink" Target="http://henontech.com/fieldsafety/harzard/harzard_show.php?rid=3566&amp;url=harzardrecs.php" TargetMode="External"/><Relationship Id="rId_hyperlink_174" Type="http://schemas.openxmlformats.org/officeDocument/2006/relationships/hyperlink" Target="http://henontech.com/fieldsafety/harzard/harzard_show.php?rid=3567&amp;url=harzardrecs.php" TargetMode="External"/><Relationship Id="rId_hyperlink_175" Type="http://schemas.openxmlformats.org/officeDocument/2006/relationships/hyperlink" Target="http://henontech.com/fieldsafety/harzard/harzard_show.php?rid=3568&amp;url=harzardrecs.php" TargetMode="External"/><Relationship Id="rId_hyperlink_176" Type="http://schemas.openxmlformats.org/officeDocument/2006/relationships/hyperlink" Target="http://henontech.com/fieldsafety/harzard/harzard_show.php?rid=3569&amp;url=harzardrecs.php" TargetMode="External"/><Relationship Id="rId_hyperlink_177" Type="http://schemas.openxmlformats.org/officeDocument/2006/relationships/hyperlink" Target="http://henontech.com/fieldsafety/harzard/harzard_show.php?rid=3571&amp;url=harzardrecs.php" TargetMode="External"/><Relationship Id="rId_hyperlink_178" Type="http://schemas.openxmlformats.org/officeDocument/2006/relationships/hyperlink" Target="http://henontech.com/fieldsafety/harzard/harzard_show.php?rid=3572&amp;url=harzardrecs.php" TargetMode="External"/><Relationship Id="rId_hyperlink_179" Type="http://schemas.openxmlformats.org/officeDocument/2006/relationships/hyperlink" Target="http://henontech.com/fieldsafety/harzard/harzard_show.php?rid=3573&amp;url=harzardrecs.php" TargetMode="External"/><Relationship Id="rId_hyperlink_180" Type="http://schemas.openxmlformats.org/officeDocument/2006/relationships/hyperlink" Target="http://henontech.com/fieldsafety/harzard/harzard_show.php?rid=3574&amp;url=harzardrecs.php" TargetMode="External"/><Relationship Id="rId_hyperlink_181" Type="http://schemas.openxmlformats.org/officeDocument/2006/relationships/hyperlink" Target="http://henontech.com/fieldsafety/harzard/harzard_show.php?rid=3575&amp;url=harzardrecs.php" TargetMode="External"/><Relationship Id="rId_hyperlink_182" Type="http://schemas.openxmlformats.org/officeDocument/2006/relationships/hyperlink" Target="http://henontech.com/fieldsafety/harzard/harzard_show.php?rid=3576&amp;url=harzardrecs.php" TargetMode="External"/><Relationship Id="rId_hyperlink_183" Type="http://schemas.openxmlformats.org/officeDocument/2006/relationships/hyperlink" Target="http://henontech.com/fieldsafety/harzard/harzard_show.php?rid=3577&amp;url=harzardrecs.php" TargetMode="External"/><Relationship Id="rId_hyperlink_184" Type="http://schemas.openxmlformats.org/officeDocument/2006/relationships/hyperlink" Target="http://henontech.com/fieldsafety/harzard/harzard_show.php?rid=3578&amp;url=harzardrecs.php" TargetMode="External"/><Relationship Id="rId_hyperlink_185" Type="http://schemas.openxmlformats.org/officeDocument/2006/relationships/hyperlink" Target="http://henontech.com/fieldsafety/harzard/harzard_show.php?rid=3579&amp;url=harzardrecs.php" TargetMode="External"/><Relationship Id="rId_hyperlink_186" Type="http://schemas.openxmlformats.org/officeDocument/2006/relationships/hyperlink" Target="http://henontech.com/fieldsafety/harzard/harzard_show.php?rid=3580&amp;url=harzardrecs.php" TargetMode="External"/><Relationship Id="rId_hyperlink_187" Type="http://schemas.openxmlformats.org/officeDocument/2006/relationships/hyperlink" Target="http://henontech.com/fieldsafety/harzard/harzard_show.php?rid=3581&amp;url=harzardrecs.php" TargetMode="External"/><Relationship Id="rId_hyperlink_188" Type="http://schemas.openxmlformats.org/officeDocument/2006/relationships/hyperlink" Target="http://henontech.com/fieldsafety/harzard/harzard_show.php?rid=3582&amp;url=harzardrecs.php" TargetMode="External"/><Relationship Id="rId_hyperlink_189" Type="http://schemas.openxmlformats.org/officeDocument/2006/relationships/hyperlink" Target="http://henontech.com/fieldsafety/harzard/harzard_show.php?rid=3583&amp;url=harzardrecs.php" TargetMode="External"/><Relationship Id="rId_hyperlink_190" Type="http://schemas.openxmlformats.org/officeDocument/2006/relationships/hyperlink" Target="http://henontech.com/fieldsafety/harzard/harzard_show.php?rid=3584&amp;url=harzardrecs.php" TargetMode="External"/><Relationship Id="rId_hyperlink_191" Type="http://schemas.openxmlformats.org/officeDocument/2006/relationships/hyperlink" Target="http://henontech.com/fieldsafety/harzard/harzard_show.php?rid=3585&amp;url=harzardrecs.php" TargetMode="External"/><Relationship Id="rId_hyperlink_192" Type="http://schemas.openxmlformats.org/officeDocument/2006/relationships/hyperlink" Target="http://henontech.com/fieldsafety/harzard/harzard_show.php?rid=3586&amp;url=harzardrecs.php" TargetMode="External"/><Relationship Id="rId_hyperlink_193" Type="http://schemas.openxmlformats.org/officeDocument/2006/relationships/hyperlink" Target="http://henontech.com/fieldsafety/harzard/harzard_show.php?rid=3587&amp;url=harzardrecs.php" TargetMode="External"/><Relationship Id="rId_hyperlink_194" Type="http://schemas.openxmlformats.org/officeDocument/2006/relationships/hyperlink" Target="http://henontech.com/fieldsafety/harzard/harzard_show.php?rid=3588&amp;url=harzardrecs.php" TargetMode="External"/><Relationship Id="rId_hyperlink_195" Type="http://schemas.openxmlformats.org/officeDocument/2006/relationships/hyperlink" Target="http://henontech.com/fieldsafety/harzard/harzard_show.php?rid=3589&amp;url=harzardrecs.php" TargetMode="External"/><Relationship Id="rId_hyperlink_196" Type="http://schemas.openxmlformats.org/officeDocument/2006/relationships/hyperlink" Target="http://henontech.com/fieldsafety/harzard/harzard_show.php?rid=3590&amp;url=harzardrecs.php" TargetMode="External"/><Relationship Id="rId_hyperlink_197" Type="http://schemas.openxmlformats.org/officeDocument/2006/relationships/hyperlink" Target="http://henontech.com/fieldsafety/harzard/harzard_show.php?rid=3591&amp;url=harzardrecs.php" TargetMode="External"/><Relationship Id="rId_hyperlink_198" Type="http://schemas.openxmlformats.org/officeDocument/2006/relationships/hyperlink" Target="http://henontech.com/fieldsafety/harzard/harzard_show.php?rid=3595&amp;url=harzardrecs.php" TargetMode="External"/><Relationship Id="rId_hyperlink_199" Type="http://schemas.openxmlformats.org/officeDocument/2006/relationships/hyperlink" Target="http://henontech.com/fieldsafety/harzard/harzard_show.php?rid=3596&amp;url=harzardrecs.php" TargetMode="External"/><Relationship Id="rId_hyperlink_200" Type="http://schemas.openxmlformats.org/officeDocument/2006/relationships/hyperlink" Target="http://henontech.com/fieldsafety/harzard/harzard_show.php?rid=3597&amp;url=harzardrecs.php" TargetMode="External"/><Relationship Id="rId_hyperlink_201" Type="http://schemas.openxmlformats.org/officeDocument/2006/relationships/hyperlink" Target="http://henontech.com/fieldsafety/harzard/harzard_show.php?rid=3598&amp;url=harzardrecs.php" TargetMode="External"/><Relationship Id="rId_hyperlink_202" Type="http://schemas.openxmlformats.org/officeDocument/2006/relationships/hyperlink" Target="http://henontech.com/fieldsafety/harzard/harzard_show.php?rid=3599&amp;url=harzardrecs.php" TargetMode="External"/><Relationship Id="rId_hyperlink_203" Type="http://schemas.openxmlformats.org/officeDocument/2006/relationships/hyperlink" Target="http://henontech.com/fieldsafety/harzard/harzard_show.php?rid=3600&amp;url=harzardrecs.php" TargetMode="External"/><Relationship Id="rId_hyperlink_204" Type="http://schemas.openxmlformats.org/officeDocument/2006/relationships/hyperlink" Target="http://henontech.com/fieldsafety/harzard/harzard_show.php?rid=3601&amp;url=harzardrecs.php" TargetMode="External"/><Relationship Id="rId_hyperlink_205" Type="http://schemas.openxmlformats.org/officeDocument/2006/relationships/hyperlink" Target="http://henontech.com/fieldsafety/harzard/harzard_show.php?rid=3609&amp;url=harzardrecs.php" TargetMode="External"/><Relationship Id="rId_hyperlink_206" Type="http://schemas.openxmlformats.org/officeDocument/2006/relationships/hyperlink" Target="http://henontech.com/fieldsafety/harzard/harzard_show.php?rid=3610&amp;url=harzardrecs.php" TargetMode="External"/><Relationship Id="rId_hyperlink_207" Type="http://schemas.openxmlformats.org/officeDocument/2006/relationships/hyperlink" Target="http://henontech.com/fieldsafety/harzard/harzard_show.php?rid=3613&amp;url=harzardrecs.php" TargetMode="External"/><Relationship Id="rId_hyperlink_208" Type="http://schemas.openxmlformats.org/officeDocument/2006/relationships/hyperlink" Target="http://henontech.com/fieldsafety/harzard/harzard_show.php?rid=3618&amp;url=harzardrecs.php" TargetMode="External"/><Relationship Id="rId_hyperlink_209" Type="http://schemas.openxmlformats.org/officeDocument/2006/relationships/hyperlink" Target="http://henontech.com/fieldsafety/harzard/harzard_show.php?rid=3620&amp;url=harzardrecs.php" TargetMode="External"/><Relationship Id="rId_hyperlink_210" Type="http://schemas.openxmlformats.org/officeDocument/2006/relationships/hyperlink" Target="http://henontech.com/fieldsafety/harzard/harzard_show.php?rid=3621&amp;url=harzardrecs.php" TargetMode="External"/><Relationship Id="rId_hyperlink_211" Type="http://schemas.openxmlformats.org/officeDocument/2006/relationships/hyperlink" Target="http://henontech.com/fieldsafety/harzard/harzard_show.php?rid=3624&amp;url=harzardrecs.php" TargetMode="External"/><Relationship Id="rId_hyperlink_212" Type="http://schemas.openxmlformats.org/officeDocument/2006/relationships/hyperlink" Target="http://henontech.com/fieldsafety/harzard/harzard_show.php?rid=3625&amp;url=harzardrecs.php" TargetMode="External"/><Relationship Id="rId_hyperlink_213" Type="http://schemas.openxmlformats.org/officeDocument/2006/relationships/hyperlink" Target="http://henontech.com/fieldsafety/harzard/harzard_show.php?rid=3626&amp;url=harzardrecs.php" TargetMode="External"/><Relationship Id="rId_hyperlink_214" Type="http://schemas.openxmlformats.org/officeDocument/2006/relationships/hyperlink" Target="http://henontech.com/fieldsafety/harzard/harzard_show.php?rid=3627&amp;url=harzardrecs.php" TargetMode="External"/><Relationship Id="rId_hyperlink_215" Type="http://schemas.openxmlformats.org/officeDocument/2006/relationships/hyperlink" Target="http://henontech.com/fieldsafety/harzard/harzard_show.php?rid=3628&amp;url=harzardrecs.php" TargetMode="External"/><Relationship Id="rId_hyperlink_216" Type="http://schemas.openxmlformats.org/officeDocument/2006/relationships/hyperlink" Target="http://henontech.com/fieldsafety/harzard/harzard_show.php?rid=3630&amp;url=harzardrecs.php" TargetMode="External"/><Relationship Id="rId_hyperlink_217" Type="http://schemas.openxmlformats.org/officeDocument/2006/relationships/hyperlink" Target="http://henontech.com/fieldsafety/harzard/harzard_show.php?rid=3631&amp;url=harzardrecs.php" TargetMode="External"/><Relationship Id="rId_hyperlink_218" Type="http://schemas.openxmlformats.org/officeDocument/2006/relationships/hyperlink" Target="http://henontech.com/fieldsafety/harzard/harzard_show.php?rid=3633&amp;url=harzardrecs.php" TargetMode="External"/><Relationship Id="rId_hyperlink_219" Type="http://schemas.openxmlformats.org/officeDocument/2006/relationships/hyperlink" Target="http://henontech.com/fieldsafety/harzard/harzard_show.php?rid=3634&amp;url=harzardrecs.php" TargetMode="External"/><Relationship Id="rId_hyperlink_220" Type="http://schemas.openxmlformats.org/officeDocument/2006/relationships/hyperlink" Target="http://henontech.com/fieldsafety/harzard/harzard_show.php?rid=3635&amp;url=harzardrecs.php" TargetMode="External"/><Relationship Id="rId_hyperlink_221" Type="http://schemas.openxmlformats.org/officeDocument/2006/relationships/hyperlink" Target="http://henontech.com/fieldsafety/harzard/harzard_show.php?rid=3637&amp;url=harzardrecs.php" TargetMode="External"/><Relationship Id="rId_hyperlink_222" Type="http://schemas.openxmlformats.org/officeDocument/2006/relationships/hyperlink" Target="http://henontech.com/fieldsafety/harzard/harzard_show.php?rid=3641&amp;url=harzardrecs.php" TargetMode="External"/><Relationship Id="rId_hyperlink_223" Type="http://schemas.openxmlformats.org/officeDocument/2006/relationships/hyperlink" Target="http://henontech.com/fieldsafety/harzard/harzard_show.php?rid=3643&amp;url=harzardrecs.php" TargetMode="External"/><Relationship Id="rId_hyperlink_224" Type="http://schemas.openxmlformats.org/officeDocument/2006/relationships/hyperlink" Target="http://henontech.com/fieldsafety/harzard/harzard_show.php?rid=3644&amp;url=harzardrecs.php" TargetMode="External"/><Relationship Id="rId_hyperlink_225" Type="http://schemas.openxmlformats.org/officeDocument/2006/relationships/hyperlink" Target="http://henontech.com/fieldsafety/harzard/harzard_show.php?rid=3645&amp;url=harzardrecs.php" TargetMode="External"/><Relationship Id="rId_hyperlink_226" Type="http://schemas.openxmlformats.org/officeDocument/2006/relationships/hyperlink" Target="http://henontech.com/fieldsafety/harzard/harzard_show.php?rid=3646&amp;url=harzardrecs.php" TargetMode="External"/><Relationship Id="rId_hyperlink_227" Type="http://schemas.openxmlformats.org/officeDocument/2006/relationships/hyperlink" Target="http://henontech.com/fieldsafety/harzard/harzard_show.php?rid=3647&amp;url=harzardrecs.php" TargetMode="External"/><Relationship Id="rId_hyperlink_228" Type="http://schemas.openxmlformats.org/officeDocument/2006/relationships/hyperlink" Target="http://henontech.com/fieldsafety/harzard/harzard_show.php?rid=3648&amp;url=harzardrecs.php" TargetMode="External"/><Relationship Id="rId_hyperlink_229" Type="http://schemas.openxmlformats.org/officeDocument/2006/relationships/hyperlink" Target="http://henontech.com/fieldsafety/harzard/harzard_show.php?rid=3649&amp;url=harzardrecs.php" TargetMode="External"/><Relationship Id="rId_hyperlink_230" Type="http://schemas.openxmlformats.org/officeDocument/2006/relationships/hyperlink" Target="http://henontech.com/fieldsafety/harzard/harzard_show.php?rid=3654&amp;url=harzardrecs.php" TargetMode="External"/><Relationship Id="rId_hyperlink_231" Type="http://schemas.openxmlformats.org/officeDocument/2006/relationships/hyperlink" Target="http://henontech.com/fieldsafety/harzard/harzard_show.php?rid=3658&amp;url=harzardrecs.php" TargetMode="External"/><Relationship Id="rId_hyperlink_232" Type="http://schemas.openxmlformats.org/officeDocument/2006/relationships/hyperlink" Target="http://henontech.com/fieldsafety/harzard/harzard_show.php?rid=3661&amp;url=harzardrecs.php" TargetMode="External"/><Relationship Id="rId_hyperlink_233" Type="http://schemas.openxmlformats.org/officeDocument/2006/relationships/hyperlink" Target="http://henontech.com/fieldsafety/harzard/harzard_show.php?rid=3662&amp;url=harzardrecs.php" TargetMode="External"/><Relationship Id="rId_hyperlink_234" Type="http://schemas.openxmlformats.org/officeDocument/2006/relationships/hyperlink" Target="http://henontech.com/fieldsafety/harzard/harzard_show.php?rid=3663&amp;url=harzardrecs.php" TargetMode="External"/><Relationship Id="rId_hyperlink_235" Type="http://schemas.openxmlformats.org/officeDocument/2006/relationships/hyperlink" Target="http://henontech.com/fieldsafety/harzard/harzard_show.php?rid=3664&amp;url=harzardrecs.php" TargetMode="External"/><Relationship Id="rId_hyperlink_236" Type="http://schemas.openxmlformats.org/officeDocument/2006/relationships/hyperlink" Target="http://henontech.com/fieldsafety/harzard/harzard_show.php?rid=3665&amp;url=harzardrecs.php" TargetMode="External"/><Relationship Id="rId_hyperlink_237" Type="http://schemas.openxmlformats.org/officeDocument/2006/relationships/hyperlink" Target="http://henontech.com/fieldsafety/harzard/harzard_show.php?rid=3666&amp;url=harzardrecs.php" TargetMode="External"/><Relationship Id="rId_hyperlink_238" Type="http://schemas.openxmlformats.org/officeDocument/2006/relationships/hyperlink" Target="http://henontech.com/fieldsafety/harzard/harzard_show.php?rid=3667&amp;url=harzardrecs.php" TargetMode="External"/><Relationship Id="rId_hyperlink_239" Type="http://schemas.openxmlformats.org/officeDocument/2006/relationships/hyperlink" Target="http://henontech.com/fieldsafety/harzard/harzard_show.php?rid=3668&amp;url=harzardrecs.php" TargetMode="External"/><Relationship Id="rId_hyperlink_240" Type="http://schemas.openxmlformats.org/officeDocument/2006/relationships/hyperlink" Target="http://henontech.com/fieldsafety/harzard/harzard_show.php?rid=3670&amp;url=harzardrecs.php" TargetMode="External"/><Relationship Id="rId_hyperlink_241" Type="http://schemas.openxmlformats.org/officeDocument/2006/relationships/hyperlink" Target="http://henontech.com/fieldsafety/harzard/harzard_show.php?rid=3671&amp;url=harzardrecs.php" TargetMode="External"/><Relationship Id="rId_hyperlink_242" Type="http://schemas.openxmlformats.org/officeDocument/2006/relationships/hyperlink" Target="http://henontech.com/fieldsafety/harzard/harzard_show.php?rid=3672&amp;url=harzardrecs.php" TargetMode="External"/><Relationship Id="rId_hyperlink_243" Type="http://schemas.openxmlformats.org/officeDocument/2006/relationships/hyperlink" Target="http://henontech.com/fieldsafety/harzard/harzard_show.php?rid=3673&amp;url=harzardrecs.php" TargetMode="External"/><Relationship Id="rId_hyperlink_244" Type="http://schemas.openxmlformats.org/officeDocument/2006/relationships/hyperlink" Target="http://henontech.com/fieldsafety/harzard/harzard_show.php?rid=3674&amp;url=harzardrecs.php" TargetMode="External"/><Relationship Id="rId_hyperlink_245" Type="http://schemas.openxmlformats.org/officeDocument/2006/relationships/hyperlink" Target="http://henontech.com/fieldsafety/harzard/harzard_show.php?rid=3675&amp;url=harzardrecs.php" TargetMode="External"/><Relationship Id="rId_hyperlink_246" Type="http://schemas.openxmlformats.org/officeDocument/2006/relationships/hyperlink" Target="http://henontech.com/fieldsafety/harzard/harzard_show.php?rid=3676&amp;url=harzardrecs.php" TargetMode="External"/><Relationship Id="rId_hyperlink_247" Type="http://schemas.openxmlformats.org/officeDocument/2006/relationships/hyperlink" Target="http://henontech.com/fieldsafety/harzard/harzard_show.php?rid=3679&amp;url=harzardrecs.php" TargetMode="External"/><Relationship Id="rId_hyperlink_248" Type="http://schemas.openxmlformats.org/officeDocument/2006/relationships/hyperlink" Target="http://henontech.com/fieldsafety/harzard/harzard_show.php?rid=3683&amp;url=harzardrecs.php" TargetMode="External"/><Relationship Id="rId_hyperlink_249" Type="http://schemas.openxmlformats.org/officeDocument/2006/relationships/hyperlink" Target="http://henontech.com/fieldsafety/harzard/harzard_show.php?rid=3685&amp;url=harzardrecs.php" TargetMode="External"/><Relationship Id="rId_hyperlink_250" Type="http://schemas.openxmlformats.org/officeDocument/2006/relationships/hyperlink" Target="http://henontech.com/fieldsafety/harzard/harzard_show.php?rid=3686&amp;url=harzardrecs.php" TargetMode="External"/><Relationship Id="rId_hyperlink_251" Type="http://schemas.openxmlformats.org/officeDocument/2006/relationships/hyperlink" Target="http://henontech.com/fieldsafety/harzard/harzard_show.php?rid=3687&amp;url=harzardrecs.php" TargetMode="External"/><Relationship Id="rId_hyperlink_252" Type="http://schemas.openxmlformats.org/officeDocument/2006/relationships/hyperlink" Target="http://henontech.com/fieldsafety/harzard/harzard_show.php?rid=3690&amp;url=harzardrecs.php" TargetMode="External"/><Relationship Id="rId_hyperlink_253" Type="http://schemas.openxmlformats.org/officeDocument/2006/relationships/hyperlink" Target="http://henontech.com/fieldsafety/harzard/harzard_show.php?rid=3691&amp;url=harzardrecs.php" TargetMode="External"/><Relationship Id="rId_hyperlink_254" Type="http://schemas.openxmlformats.org/officeDocument/2006/relationships/hyperlink" Target="http://henontech.com/fieldsafety/harzard/harzard_show.php?rid=3693&amp;url=harzardrecs.php" TargetMode="External"/><Relationship Id="rId_hyperlink_255" Type="http://schemas.openxmlformats.org/officeDocument/2006/relationships/hyperlink" Target="http://henontech.com/fieldsafety/harzard/harzard_show.php?rid=3694&amp;url=harzardrecs.php" TargetMode="External"/><Relationship Id="rId_hyperlink_256" Type="http://schemas.openxmlformats.org/officeDocument/2006/relationships/hyperlink" Target="http://henontech.com/fieldsafety/harzard/harzard_show.php?rid=3695&amp;url=harzardrecs.php" TargetMode="External"/><Relationship Id="rId_hyperlink_257" Type="http://schemas.openxmlformats.org/officeDocument/2006/relationships/hyperlink" Target="http://henontech.com/fieldsafety/harzard/harzard_show.php?rid=3696&amp;url=harzardrecs.php" TargetMode="External"/><Relationship Id="rId_hyperlink_258" Type="http://schemas.openxmlformats.org/officeDocument/2006/relationships/hyperlink" Target="http://henontech.com/fieldsafety/harzard/harzard_show.php?rid=3697&amp;url=harzardrecs.php" TargetMode="External"/><Relationship Id="rId_hyperlink_259" Type="http://schemas.openxmlformats.org/officeDocument/2006/relationships/hyperlink" Target="http://henontech.com/fieldsafety/harzard/harzard_show.php?rid=3703&amp;url=harzardrecs.php" TargetMode="External"/><Relationship Id="rId_hyperlink_260" Type="http://schemas.openxmlformats.org/officeDocument/2006/relationships/hyperlink" Target="http://henontech.com/fieldsafety/harzard/harzard_show.php?rid=3704&amp;url=harzardrecs.php" TargetMode="External"/><Relationship Id="rId_hyperlink_261" Type="http://schemas.openxmlformats.org/officeDocument/2006/relationships/hyperlink" Target="http://henontech.com/fieldsafety/harzard/harzard_show.php?rid=3705&amp;url=harzardrecs.php" TargetMode="External"/><Relationship Id="rId_hyperlink_262" Type="http://schemas.openxmlformats.org/officeDocument/2006/relationships/hyperlink" Target="http://henontech.com/fieldsafety/harzard/harzard_show.php?rid=3706&amp;url=harzardrecs.php" TargetMode="External"/><Relationship Id="rId_hyperlink_263" Type="http://schemas.openxmlformats.org/officeDocument/2006/relationships/hyperlink" Target="http://henontech.com/fieldsafety/harzard/harzard_show.php?rid=3707&amp;url=harzardrecs.php" TargetMode="External"/><Relationship Id="rId_hyperlink_264" Type="http://schemas.openxmlformats.org/officeDocument/2006/relationships/hyperlink" Target="http://henontech.com/fieldsafety/harzard/harzard_show.php?rid=3708&amp;url=harzardrecs.php" TargetMode="External"/><Relationship Id="rId_hyperlink_265" Type="http://schemas.openxmlformats.org/officeDocument/2006/relationships/hyperlink" Target="http://henontech.com/fieldsafety/harzard/harzard_show.php?rid=3710&amp;url=harzardrecs.php" TargetMode="External"/><Relationship Id="rId_hyperlink_266" Type="http://schemas.openxmlformats.org/officeDocument/2006/relationships/hyperlink" Target="http://henontech.com/fieldsafety/harzard/harzard_show.php?rid=3711&amp;url=harzardrecs.php" TargetMode="External"/><Relationship Id="rId_hyperlink_267" Type="http://schemas.openxmlformats.org/officeDocument/2006/relationships/hyperlink" Target="http://henontech.com/fieldsafety/harzard/harzard_show.php?rid=3712&amp;url=harzardrecs.php" TargetMode="External"/><Relationship Id="rId_hyperlink_268" Type="http://schemas.openxmlformats.org/officeDocument/2006/relationships/hyperlink" Target="http://henontech.com/fieldsafety/harzard/harzard_show.php?rid=3713&amp;url=harzardrecs.php" TargetMode="External"/><Relationship Id="rId_hyperlink_269" Type="http://schemas.openxmlformats.org/officeDocument/2006/relationships/hyperlink" Target="http://henontech.com/fieldsafety/harzard/harzard_show.php?rid=3714&amp;url=harzardrecs.php" TargetMode="External"/><Relationship Id="rId_hyperlink_270" Type="http://schemas.openxmlformats.org/officeDocument/2006/relationships/hyperlink" Target="http://henontech.com/fieldsafety/harzard/harzard_show.php?rid=3715&amp;url=harzardrecs.php" TargetMode="External"/><Relationship Id="rId_hyperlink_271" Type="http://schemas.openxmlformats.org/officeDocument/2006/relationships/hyperlink" Target="http://henontech.com/fieldsafety/harzard/harzard_show.php?rid=3716&amp;url=harzardrecs.php" TargetMode="External"/><Relationship Id="rId_hyperlink_272" Type="http://schemas.openxmlformats.org/officeDocument/2006/relationships/hyperlink" Target="http://henontech.com/fieldsafety/harzard/harzard_show.php?rid=3717&amp;url=harzardrecs.php" TargetMode="External"/><Relationship Id="rId_hyperlink_273" Type="http://schemas.openxmlformats.org/officeDocument/2006/relationships/hyperlink" Target="http://henontech.com/fieldsafety/harzard/harzard_show.php?rid=3721&amp;url=harzardrecs.php" TargetMode="External"/><Relationship Id="rId_hyperlink_274" Type="http://schemas.openxmlformats.org/officeDocument/2006/relationships/hyperlink" Target="http://henontech.com/fieldsafety/harzard/harzard_show.php?rid=3723&amp;url=harzardrecs.php" TargetMode="External"/><Relationship Id="rId_hyperlink_275" Type="http://schemas.openxmlformats.org/officeDocument/2006/relationships/hyperlink" Target="http://henontech.com/fieldsafety/harzard/harzard_show.php?rid=3727&amp;url=harzardrecs.php" TargetMode="External"/><Relationship Id="rId_hyperlink_276" Type="http://schemas.openxmlformats.org/officeDocument/2006/relationships/hyperlink" Target="http://henontech.com/fieldsafety/harzard/harzard_show.php?rid=3730&amp;url=harzardrecs.php" TargetMode="External"/><Relationship Id="rId_hyperlink_277" Type="http://schemas.openxmlformats.org/officeDocument/2006/relationships/hyperlink" Target="http://henontech.com/fieldsafety/harzard/harzard_show.php?rid=3731&amp;url=harzardrecs.php" TargetMode="External"/><Relationship Id="rId_hyperlink_278" Type="http://schemas.openxmlformats.org/officeDocument/2006/relationships/hyperlink" Target="http://henontech.com/fieldsafety/harzard/harzard_show.php?rid=3732&amp;url=harzardrecs.php" TargetMode="External"/><Relationship Id="rId_hyperlink_279" Type="http://schemas.openxmlformats.org/officeDocument/2006/relationships/hyperlink" Target="http://henontech.com/fieldsafety/harzard/harzard_show.php?rid=3733&amp;url=harzardrecs.php" TargetMode="External"/><Relationship Id="rId_hyperlink_280" Type="http://schemas.openxmlformats.org/officeDocument/2006/relationships/hyperlink" Target="http://henontech.com/fieldsafety/harzard/harzard_show.php?rid=3735&amp;url=harzardrecs.php" TargetMode="External"/><Relationship Id="rId_hyperlink_281" Type="http://schemas.openxmlformats.org/officeDocument/2006/relationships/hyperlink" Target="http://henontech.com/fieldsafety/harzard/harzard_show.php?rid=3736&amp;url=harzardrecs.php" TargetMode="External"/><Relationship Id="rId_hyperlink_282" Type="http://schemas.openxmlformats.org/officeDocument/2006/relationships/hyperlink" Target="http://henontech.com/fieldsafety/harzard/harzard_show.php?rid=3737&amp;url=harzardrecs.php" TargetMode="External"/><Relationship Id="rId_hyperlink_283" Type="http://schemas.openxmlformats.org/officeDocument/2006/relationships/hyperlink" Target="http://henontech.com/fieldsafety/harzard/harzard_show.php?rid=3738&amp;url=harzardrecs.php" TargetMode="External"/><Relationship Id="rId_hyperlink_284" Type="http://schemas.openxmlformats.org/officeDocument/2006/relationships/hyperlink" Target="http://henontech.com/fieldsafety/harzard/harzard_show.php?rid=3739&amp;url=harzardrecs.php" TargetMode="External"/><Relationship Id="rId_hyperlink_285" Type="http://schemas.openxmlformats.org/officeDocument/2006/relationships/hyperlink" Target="http://henontech.com/fieldsafety/harzard/harzard_show.php?rid=3742&amp;url=harzardrecs.php" TargetMode="External"/><Relationship Id="rId_hyperlink_286" Type="http://schemas.openxmlformats.org/officeDocument/2006/relationships/hyperlink" Target="http://henontech.com/fieldsafety/harzard/harzard_show.php?rid=3743&amp;url=harzardrecs.php" TargetMode="External"/><Relationship Id="rId_hyperlink_287" Type="http://schemas.openxmlformats.org/officeDocument/2006/relationships/hyperlink" Target="http://henontech.com/fieldsafety/harzard/harzard_show.php?rid=3745&amp;url=harzardrecs.php" TargetMode="External"/><Relationship Id="rId_hyperlink_288" Type="http://schemas.openxmlformats.org/officeDocument/2006/relationships/hyperlink" Target="http://henontech.com/fieldsafety/harzard/harzard_show.php?rid=3748&amp;url=harzardrecs.php" TargetMode="External"/><Relationship Id="rId_hyperlink_289" Type="http://schemas.openxmlformats.org/officeDocument/2006/relationships/hyperlink" Target="http://henontech.com/fieldsafety/harzard/harzard_show.php?rid=3749&amp;url=harzardrecs.php" TargetMode="External"/><Relationship Id="rId_hyperlink_290" Type="http://schemas.openxmlformats.org/officeDocument/2006/relationships/hyperlink" Target="http://henontech.com/fieldsafety/harzard/harzard_show.php?rid=3750&amp;url=harzardrecs.php" TargetMode="External"/><Relationship Id="rId_hyperlink_291" Type="http://schemas.openxmlformats.org/officeDocument/2006/relationships/hyperlink" Target="http://henontech.com/fieldsafety/harzard/harzard_show.php?rid=3754&amp;url=harzardrecs.php" TargetMode="External"/><Relationship Id="rId_hyperlink_292" Type="http://schemas.openxmlformats.org/officeDocument/2006/relationships/hyperlink" Target="http://henontech.com/fieldsafety/harzard/harzard_show.php?rid=3755&amp;url=harzardrecs.php" TargetMode="External"/><Relationship Id="rId_hyperlink_293" Type="http://schemas.openxmlformats.org/officeDocument/2006/relationships/hyperlink" Target="http://henontech.com/fieldsafety/harzard/harzard_show.php?rid=3771&amp;url=harzardrecs.php" TargetMode="External"/><Relationship Id="rId_hyperlink_294" Type="http://schemas.openxmlformats.org/officeDocument/2006/relationships/hyperlink" Target="http://henontech.com/fieldsafety/harzard/harzard_show.php?rid=3772&amp;url=harzardrecs.php" TargetMode="External"/><Relationship Id="rId_hyperlink_295" Type="http://schemas.openxmlformats.org/officeDocument/2006/relationships/hyperlink" Target="http://henontech.com/fieldsafety/harzard/harzard_show.php?rid=3774&amp;url=harzardrecs.php" TargetMode="External"/><Relationship Id="rId_hyperlink_296" Type="http://schemas.openxmlformats.org/officeDocument/2006/relationships/hyperlink" Target="http://henontech.com/fieldsafety/harzard/harzard_show.php?rid=3788&amp;url=harzardrecs.php" TargetMode="External"/><Relationship Id="rId_hyperlink_297" Type="http://schemas.openxmlformats.org/officeDocument/2006/relationships/hyperlink" Target="http://henontech.com/fieldsafety/harzard/harzard_show.php?rid=3789&amp;url=harzardrecs.php" TargetMode="External"/><Relationship Id="rId_hyperlink_298" Type="http://schemas.openxmlformats.org/officeDocument/2006/relationships/hyperlink" Target="http://henontech.com/fieldsafety/harzard/harzard_show.php?rid=3790&amp;url=harzardrecs.php" TargetMode="External"/><Relationship Id="rId_hyperlink_299" Type="http://schemas.openxmlformats.org/officeDocument/2006/relationships/hyperlink" Target="http://henontech.com/fieldsafety/harzard/harzard_show.php?rid=3803&amp;url=harzardrecs.php" TargetMode="External"/><Relationship Id="rId_hyperlink_300" Type="http://schemas.openxmlformats.org/officeDocument/2006/relationships/hyperlink" Target="http://henontech.com/fieldsafety/harzard/harzard_show.php?rid=3808&amp;url=harzardrecs.php" TargetMode="External"/><Relationship Id="rId_hyperlink_301" Type="http://schemas.openxmlformats.org/officeDocument/2006/relationships/hyperlink" Target="http://henontech.com/fieldsafety/harzard/harzard_show.php?rid=3809&amp;url=harzardrecs.php" TargetMode="External"/><Relationship Id="rId_hyperlink_302" Type="http://schemas.openxmlformats.org/officeDocument/2006/relationships/hyperlink" Target="http://henontech.com/fieldsafety/harzard/harzard_show.php?rid=3811&amp;url=harzardrecs.php" TargetMode="External"/><Relationship Id="rId_hyperlink_303" Type="http://schemas.openxmlformats.org/officeDocument/2006/relationships/hyperlink" Target="http://henontech.com/fieldsafety/harzard/harzard_show.php?rid=3812&amp;url=harzardrecs.php" TargetMode="External"/><Relationship Id="rId_hyperlink_304" Type="http://schemas.openxmlformats.org/officeDocument/2006/relationships/hyperlink" Target="http://henontech.com/fieldsafety/harzard/harzard_show.php?rid=3813&amp;url=harzardrecs.php" TargetMode="External"/><Relationship Id="rId_hyperlink_305" Type="http://schemas.openxmlformats.org/officeDocument/2006/relationships/hyperlink" Target="http://henontech.com/fieldsafety/harzard/harzard_show.php?rid=3820&amp;url=harzardrecs.php" TargetMode="External"/><Relationship Id="rId_hyperlink_306" Type="http://schemas.openxmlformats.org/officeDocument/2006/relationships/hyperlink" Target="http://henontech.com/fieldsafety/harzard/harzard_show.php?rid=3829&amp;url=harzardrecs.php" TargetMode="External"/><Relationship Id="rId_hyperlink_307" Type="http://schemas.openxmlformats.org/officeDocument/2006/relationships/hyperlink" Target="http://henontech.com/fieldsafety/harzard/harzard_show.php?rid=3835&amp;url=harzardrecs.php" TargetMode="External"/><Relationship Id="rId_hyperlink_308" Type="http://schemas.openxmlformats.org/officeDocument/2006/relationships/hyperlink" Target="http://henontech.com/fieldsafety/harzard/harzard_show.php?rid=3847&amp;url=harzardrecs.php" TargetMode="External"/><Relationship Id="rId_hyperlink_309" Type="http://schemas.openxmlformats.org/officeDocument/2006/relationships/hyperlink" Target="http://henontech.com/fieldsafety/harzard/harzard_show.php?rid=3852&amp;url=harzardrecs.php" TargetMode="External"/><Relationship Id="rId_hyperlink_310" Type="http://schemas.openxmlformats.org/officeDocument/2006/relationships/hyperlink" Target="http://henontech.com/fieldsafety/harzard/harzard_show.php?rid=3853&amp;url=harzardrecs.php" TargetMode="External"/><Relationship Id="rId_hyperlink_311" Type="http://schemas.openxmlformats.org/officeDocument/2006/relationships/hyperlink" Target="http://henontech.com/fieldsafety/harzard/harzard_show.php?rid=3854&amp;url=harzardrecs.php" TargetMode="External"/><Relationship Id="rId_hyperlink_312" Type="http://schemas.openxmlformats.org/officeDocument/2006/relationships/hyperlink" Target="http://henontech.com/fieldsafety/harzard/harzard_show.php?rid=3882&amp;url=harzardrecs.php" TargetMode="External"/><Relationship Id="rId_hyperlink_313" Type="http://schemas.openxmlformats.org/officeDocument/2006/relationships/hyperlink" Target="http://henontech.com/fieldsafety/harzard/harzard_show.php?rid=3888&amp;url=harzardrecs.php" TargetMode="External"/><Relationship Id="rId_hyperlink_314" Type="http://schemas.openxmlformats.org/officeDocument/2006/relationships/hyperlink" Target="http://henontech.com/fieldsafety/harzard/harzard_show.php?rid=3892&amp;url=harzardrecs.php" TargetMode="External"/><Relationship Id="rId_hyperlink_315" Type="http://schemas.openxmlformats.org/officeDocument/2006/relationships/hyperlink" Target="http://henontech.com/fieldsafety/harzard/harzard_show.php?rid=3898&amp;url=harzardrecs.php" TargetMode="External"/><Relationship Id="rId_hyperlink_316" Type="http://schemas.openxmlformats.org/officeDocument/2006/relationships/hyperlink" Target="http://henontech.com/fieldsafety/harzard/harzard_show.php?rid=3903&amp;url=harzardrecs.php" TargetMode="External"/><Relationship Id="rId_hyperlink_317" Type="http://schemas.openxmlformats.org/officeDocument/2006/relationships/hyperlink" Target="http://henontech.com/fieldsafety/harzard/harzard_show.php?rid=3907&amp;url=harzardrecs.php" TargetMode="External"/><Relationship Id="rId_hyperlink_318" Type="http://schemas.openxmlformats.org/officeDocument/2006/relationships/hyperlink" Target="http://henontech.com/fieldsafety/harzard/harzard_show.php?rid=3908&amp;url=harzardrecs.php" TargetMode="External"/><Relationship Id="rId_hyperlink_319" Type="http://schemas.openxmlformats.org/officeDocument/2006/relationships/hyperlink" Target="http://henontech.com/fieldsafety/harzard/harzard_show.php?rid=3909&amp;url=harzardrecs.php" TargetMode="External"/><Relationship Id="rId_hyperlink_320" Type="http://schemas.openxmlformats.org/officeDocument/2006/relationships/hyperlink" Target="http://henontech.com/fieldsafety/harzard/harzard_show.php?rid=3911&amp;url=harzardrecs.php" TargetMode="External"/><Relationship Id="rId_hyperlink_321" Type="http://schemas.openxmlformats.org/officeDocument/2006/relationships/hyperlink" Target="http://henontech.com/fieldsafety/harzard/harzard_show.php?rid=3912&amp;url=harzardrecs.php" TargetMode="External"/><Relationship Id="rId_hyperlink_322" Type="http://schemas.openxmlformats.org/officeDocument/2006/relationships/hyperlink" Target="http://henontech.com/fieldsafety/harzard/harzard_show.php?rid=3915&amp;url=harzardrecs.php" TargetMode="External"/><Relationship Id="rId_hyperlink_323" Type="http://schemas.openxmlformats.org/officeDocument/2006/relationships/hyperlink" Target="http://henontech.com/fieldsafety/harzard/harzard_show.php?rid=3917&amp;url=harzardrecs.php" TargetMode="External"/><Relationship Id="rId_hyperlink_324" Type="http://schemas.openxmlformats.org/officeDocument/2006/relationships/hyperlink" Target="http://henontech.com/fieldsafety/harzard/harzard_show.php?rid=3921&amp;url=harzardrecs.php" TargetMode="External"/><Relationship Id="rId_hyperlink_325" Type="http://schemas.openxmlformats.org/officeDocument/2006/relationships/hyperlink" Target="http://henontech.com/fieldsafety/harzard/harzard_show.php?rid=3923&amp;url=harzardrecs.php" TargetMode="External"/><Relationship Id="rId_hyperlink_326" Type="http://schemas.openxmlformats.org/officeDocument/2006/relationships/hyperlink" Target="http://henontech.com/fieldsafety/harzard/harzard_show.php?rid=3926&amp;url=harzardrecs.php" TargetMode="External"/><Relationship Id="rId_hyperlink_327" Type="http://schemas.openxmlformats.org/officeDocument/2006/relationships/hyperlink" Target="http://henontech.com/fieldsafety/harzard/harzard_show.php?rid=3939&amp;url=harzardrecs.php" TargetMode="External"/><Relationship Id="rId_hyperlink_328" Type="http://schemas.openxmlformats.org/officeDocument/2006/relationships/hyperlink" Target="http://henontech.com/fieldsafety/harzard/harzard_show.php?rid=3946&amp;url=harzardrecs.php" TargetMode="External"/><Relationship Id="rId_hyperlink_329" Type="http://schemas.openxmlformats.org/officeDocument/2006/relationships/hyperlink" Target="http://henontech.com/fieldsafety/harzard/harzard_show.php?rid=3948&amp;url=harzardrecs.php" TargetMode="External"/><Relationship Id="rId_hyperlink_330" Type="http://schemas.openxmlformats.org/officeDocument/2006/relationships/hyperlink" Target="http://henontech.com/fieldsafety/harzard/harzard_show.php?rid=3952&amp;url=harzardrecs.php" TargetMode="External"/><Relationship Id="rId_hyperlink_331" Type="http://schemas.openxmlformats.org/officeDocument/2006/relationships/hyperlink" Target="http://henontech.com/fieldsafety/harzard/harzard_show.php?rid=3968&amp;url=harzardrecs.php" TargetMode="External"/><Relationship Id="rId_hyperlink_332" Type="http://schemas.openxmlformats.org/officeDocument/2006/relationships/hyperlink" Target="http://henontech.com/fieldsafety/harzard/harzard_show.php?rid=3974&amp;url=harzardrecs.php" TargetMode="External"/><Relationship Id="rId_hyperlink_333" Type="http://schemas.openxmlformats.org/officeDocument/2006/relationships/hyperlink" Target="http://henontech.com/fieldsafety/harzard/harzard_show.php?rid=3977&amp;url=harzardrecs.php" TargetMode="External"/><Relationship Id="rId_hyperlink_334" Type="http://schemas.openxmlformats.org/officeDocument/2006/relationships/hyperlink" Target="http://henontech.com/fieldsafety/harzard/harzard_show.php?rid=3978&amp;url=harzardrecs.php" TargetMode="External"/><Relationship Id="rId_hyperlink_335" Type="http://schemas.openxmlformats.org/officeDocument/2006/relationships/hyperlink" Target="http://henontech.com/fieldsafety/harzard/harzard_show.php?rid=3979&amp;url=harzardrecs.php" TargetMode="External"/><Relationship Id="rId_hyperlink_336" Type="http://schemas.openxmlformats.org/officeDocument/2006/relationships/hyperlink" Target="http://henontech.com/fieldsafety/harzard/harzard_show.php?rid=3982&amp;url=harzardrecs.php" TargetMode="External"/><Relationship Id="rId_hyperlink_337" Type="http://schemas.openxmlformats.org/officeDocument/2006/relationships/hyperlink" Target="http://henontech.com/fieldsafety/harzard/harzard_show.php?rid=3985&amp;url=harzardrecs.php" TargetMode="External"/><Relationship Id="rId_hyperlink_338" Type="http://schemas.openxmlformats.org/officeDocument/2006/relationships/hyperlink" Target="http://henontech.com/fieldsafety/harzard/harzard_show.php?rid=3988&amp;url=harzardrecs.php" TargetMode="External"/><Relationship Id="rId_hyperlink_339" Type="http://schemas.openxmlformats.org/officeDocument/2006/relationships/hyperlink" Target="http://henontech.com/fieldsafety/harzard/harzard_show.php?rid=3990&amp;url=harzardrecs.php" TargetMode="External"/><Relationship Id="rId_hyperlink_340" Type="http://schemas.openxmlformats.org/officeDocument/2006/relationships/hyperlink" Target="http://henontech.com/fieldsafety/harzard/harzard_show.php?rid=3992&amp;url=harzardrecs.php" TargetMode="External"/><Relationship Id="rId_hyperlink_341" Type="http://schemas.openxmlformats.org/officeDocument/2006/relationships/hyperlink" Target="http://henontech.com/fieldsafety/harzard/harzard_show.php?rid=3998&amp;url=harzardrecs.php" TargetMode="External"/><Relationship Id="rId_hyperlink_342" Type="http://schemas.openxmlformats.org/officeDocument/2006/relationships/hyperlink" Target="http://henontech.com/fieldsafety/harzard/harzard_show.php?rid=4000&amp;url=harzardrecs.php" TargetMode="External"/><Relationship Id="rId_hyperlink_343" Type="http://schemas.openxmlformats.org/officeDocument/2006/relationships/hyperlink" Target="http://henontech.com/fieldsafety/harzard/harzard_show.php?rid=4016&amp;url=harzardrecs.php" TargetMode="External"/><Relationship Id="rId_hyperlink_344" Type="http://schemas.openxmlformats.org/officeDocument/2006/relationships/hyperlink" Target="http://henontech.com/fieldsafety/harzard/harzard_show.php?rid=4021&amp;url=harzardrecs.php" TargetMode="External"/><Relationship Id="rId_hyperlink_345" Type="http://schemas.openxmlformats.org/officeDocument/2006/relationships/hyperlink" Target="http://henontech.com/fieldsafety/harzard/harzard_show.php?rid=4026&amp;url=harzardrecs.php" TargetMode="External"/><Relationship Id="rId_hyperlink_346" Type="http://schemas.openxmlformats.org/officeDocument/2006/relationships/hyperlink" Target="http://henontech.com/fieldsafety/harzard/harzard_show.php?rid=4027&amp;url=harzardrecs.php" TargetMode="External"/><Relationship Id="rId_hyperlink_347" Type="http://schemas.openxmlformats.org/officeDocument/2006/relationships/hyperlink" Target="http://henontech.com/fieldsafety/harzard/harzard_show.php?rid=4028&amp;url=harzardrecs.php" TargetMode="External"/><Relationship Id="rId_hyperlink_348" Type="http://schemas.openxmlformats.org/officeDocument/2006/relationships/hyperlink" Target="http://henontech.com/fieldsafety/harzard/harzard_show.php?rid=4029&amp;url=harzardrecs.php" TargetMode="External"/><Relationship Id="rId_hyperlink_349" Type="http://schemas.openxmlformats.org/officeDocument/2006/relationships/hyperlink" Target="http://henontech.com/fieldsafety/harzard/harzard_show.php?rid=4031&amp;url=harzardrecs.php" TargetMode="External"/><Relationship Id="rId_hyperlink_350" Type="http://schemas.openxmlformats.org/officeDocument/2006/relationships/hyperlink" Target="http://henontech.com/fieldsafety/harzard/harzard_show.php?rid=4032&amp;url=harzardrecs.php" TargetMode="External"/><Relationship Id="rId_hyperlink_351" Type="http://schemas.openxmlformats.org/officeDocument/2006/relationships/hyperlink" Target="http://henontech.com/fieldsafety/harzard/harzard_show.php?rid=4035&amp;url=harzardrecs.php" TargetMode="External"/><Relationship Id="rId_hyperlink_352" Type="http://schemas.openxmlformats.org/officeDocument/2006/relationships/hyperlink" Target="http://henontech.com/fieldsafety/harzard/harzard_show.php?rid=4036&amp;url=harzardrecs.php" TargetMode="External"/><Relationship Id="rId_hyperlink_353" Type="http://schemas.openxmlformats.org/officeDocument/2006/relationships/hyperlink" Target="http://henontech.com/fieldsafety/harzard/harzard_show.php?rid=4038&amp;url=harzardrecs.php" TargetMode="External"/><Relationship Id="rId_hyperlink_354" Type="http://schemas.openxmlformats.org/officeDocument/2006/relationships/hyperlink" Target="http://henontech.com/fieldsafety/harzard/harzard_show.php?rid=4039&amp;url=harzardrecs.php" TargetMode="External"/><Relationship Id="rId_hyperlink_355" Type="http://schemas.openxmlformats.org/officeDocument/2006/relationships/hyperlink" Target="http://henontech.com/fieldsafety/harzard/harzard_show.php?rid=4044&amp;url=harzardrecs.php" TargetMode="External"/><Relationship Id="rId_hyperlink_356" Type="http://schemas.openxmlformats.org/officeDocument/2006/relationships/hyperlink" Target="http://henontech.com/fieldsafety/harzard/harzard_show.php?rid=4046&amp;url=harzardrecs.php" TargetMode="External"/><Relationship Id="rId_hyperlink_357" Type="http://schemas.openxmlformats.org/officeDocument/2006/relationships/hyperlink" Target="http://henontech.com/fieldsafety/harzard/harzard_show.php?rid=4047&amp;url=harzardrecs.php" TargetMode="External"/><Relationship Id="rId_hyperlink_358" Type="http://schemas.openxmlformats.org/officeDocument/2006/relationships/hyperlink" Target="http://henontech.com/fieldsafety/harzard/harzard_show.php?rid=4048&amp;url=harzardrecs.php" TargetMode="External"/><Relationship Id="rId_hyperlink_359" Type="http://schemas.openxmlformats.org/officeDocument/2006/relationships/hyperlink" Target="http://henontech.com/fieldsafety/harzard/harzard_show.php?rid=4049&amp;url=harzardrecs.php" TargetMode="External"/><Relationship Id="rId_hyperlink_360" Type="http://schemas.openxmlformats.org/officeDocument/2006/relationships/hyperlink" Target="http://henontech.com/fieldsafety/harzard/harzard_show.php?rid=4050&amp;url=harzardrecs.php" TargetMode="External"/><Relationship Id="rId_hyperlink_361" Type="http://schemas.openxmlformats.org/officeDocument/2006/relationships/hyperlink" Target="http://henontech.com/fieldsafety/harzard/harzard_show.php?rid=4051&amp;url=harzardrecs.php" TargetMode="External"/><Relationship Id="rId_hyperlink_362" Type="http://schemas.openxmlformats.org/officeDocument/2006/relationships/hyperlink" Target="http://henontech.com/fieldsafety/harzard/harzard_show.php?rid=4053&amp;url=harzardrecs.php" TargetMode="External"/><Relationship Id="rId_hyperlink_363" Type="http://schemas.openxmlformats.org/officeDocument/2006/relationships/hyperlink" Target="http://henontech.com/fieldsafety/harzard/harzard_show.php?rid=4054&amp;url=harzardrecs.php" TargetMode="External"/><Relationship Id="rId_hyperlink_364" Type="http://schemas.openxmlformats.org/officeDocument/2006/relationships/hyperlink" Target="http://henontech.com/fieldsafety/harzard/harzard_show.php?rid=4056&amp;url=harzardrecs.php" TargetMode="External"/><Relationship Id="rId_hyperlink_365" Type="http://schemas.openxmlformats.org/officeDocument/2006/relationships/hyperlink" Target="http://henontech.com/fieldsafety/harzard/harzard_show.php?rid=4057&amp;url=harzardrecs.php" TargetMode="External"/><Relationship Id="rId_hyperlink_366" Type="http://schemas.openxmlformats.org/officeDocument/2006/relationships/hyperlink" Target="http://henontech.com/fieldsafety/harzard/harzard_show.php?rid=4060&amp;url=harzardrecs.php" TargetMode="External"/><Relationship Id="rId_hyperlink_367" Type="http://schemas.openxmlformats.org/officeDocument/2006/relationships/hyperlink" Target="http://henontech.com/fieldsafety/harzard/harzard_show.php?rid=4061&amp;url=harzardrecs.php" TargetMode="External"/><Relationship Id="rId_hyperlink_368" Type="http://schemas.openxmlformats.org/officeDocument/2006/relationships/hyperlink" Target="http://henontech.com/fieldsafety/harzard/harzard_show.php?rid=4062&amp;url=harzardrecs.php" TargetMode="External"/><Relationship Id="rId_hyperlink_369" Type="http://schemas.openxmlformats.org/officeDocument/2006/relationships/hyperlink" Target="http://henontech.com/fieldsafety/harzard/harzard_show.php?rid=4063&amp;url=harzardrecs.php" TargetMode="External"/><Relationship Id="rId_hyperlink_370" Type="http://schemas.openxmlformats.org/officeDocument/2006/relationships/hyperlink" Target="http://henontech.com/fieldsafety/harzard/harzard_show.php?rid=4068&amp;url=harzardrecs.php" TargetMode="External"/><Relationship Id="rId_hyperlink_371" Type="http://schemas.openxmlformats.org/officeDocument/2006/relationships/hyperlink" Target="http://henontech.com/fieldsafety/harzard/harzard_show.php?rid=4069&amp;url=harzardrecs.php" TargetMode="External"/><Relationship Id="rId_hyperlink_372" Type="http://schemas.openxmlformats.org/officeDocument/2006/relationships/hyperlink" Target="http://henontech.com/fieldsafety/harzard/harzard_show.php?rid=4070&amp;url=harzardrecs.php" TargetMode="External"/><Relationship Id="rId_hyperlink_373" Type="http://schemas.openxmlformats.org/officeDocument/2006/relationships/hyperlink" Target="http://henontech.com/fieldsafety/harzard/harzard_show.php?rid=4071&amp;url=harzardrecs.php" TargetMode="External"/><Relationship Id="rId_hyperlink_374" Type="http://schemas.openxmlformats.org/officeDocument/2006/relationships/hyperlink" Target="http://henontech.com/fieldsafety/harzard/harzard_show.php?rid=4072&amp;url=harzardrecs.php" TargetMode="External"/><Relationship Id="rId_hyperlink_375" Type="http://schemas.openxmlformats.org/officeDocument/2006/relationships/hyperlink" Target="http://henontech.com/fieldsafety/harzard/harzard_show.php?rid=4073&amp;url=harzardrecs.php" TargetMode="External"/><Relationship Id="rId_hyperlink_376" Type="http://schemas.openxmlformats.org/officeDocument/2006/relationships/hyperlink" Target="http://henontech.com/fieldsafety/harzard/harzard_show.php?rid=4074&amp;url=harzardrecs.php" TargetMode="External"/><Relationship Id="rId_hyperlink_377" Type="http://schemas.openxmlformats.org/officeDocument/2006/relationships/hyperlink" Target="http://henontech.com/fieldsafety/harzard/harzard_show.php?rid=4075&amp;url=harzardrecs.php" TargetMode="External"/><Relationship Id="rId_hyperlink_378" Type="http://schemas.openxmlformats.org/officeDocument/2006/relationships/hyperlink" Target="http://henontech.com/fieldsafety/harzard/harzard_show.php?rid=4076&amp;url=harzardrecs.php" TargetMode="External"/><Relationship Id="rId_hyperlink_379" Type="http://schemas.openxmlformats.org/officeDocument/2006/relationships/hyperlink" Target="http://henontech.com/fieldsafety/harzard/harzard_show.php?rid=4077&amp;url=harzardrecs.php" TargetMode="External"/><Relationship Id="rId_hyperlink_380" Type="http://schemas.openxmlformats.org/officeDocument/2006/relationships/hyperlink" Target="http://henontech.com/fieldsafety/harzard/harzard_show.php?rid=4078&amp;url=harzardrecs.php" TargetMode="External"/><Relationship Id="rId_hyperlink_381" Type="http://schemas.openxmlformats.org/officeDocument/2006/relationships/hyperlink" Target="http://henontech.com/fieldsafety/harzard/harzard_show.php?rid=4079&amp;url=harzardrecs.php" TargetMode="External"/><Relationship Id="rId_hyperlink_382" Type="http://schemas.openxmlformats.org/officeDocument/2006/relationships/hyperlink" Target="http://henontech.com/fieldsafety/harzard/harzard_show.php?rid=4080&amp;url=harzardrecs.php" TargetMode="External"/><Relationship Id="rId_hyperlink_383" Type="http://schemas.openxmlformats.org/officeDocument/2006/relationships/hyperlink" Target="http://henontech.com/fieldsafety/harzard/harzard_show.php?rid=4081&amp;url=harzardrecs.php" TargetMode="External"/><Relationship Id="rId_hyperlink_384" Type="http://schemas.openxmlformats.org/officeDocument/2006/relationships/hyperlink" Target="http://henontech.com/fieldsafety/harzard/harzard_show.php?rid=4082&amp;url=harzardrecs.php" TargetMode="External"/><Relationship Id="rId_hyperlink_385" Type="http://schemas.openxmlformats.org/officeDocument/2006/relationships/hyperlink" Target="http://henontech.com/fieldsafety/harzard/harzard_show.php?rid=4083&amp;url=harzardrecs.php" TargetMode="External"/><Relationship Id="rId_hyperlink_386" Type="http://schemas.openxmlformats.org/officeDocument/2006/relationships/hyperlink" Target="http://henontech.com/fieldsafety/harzard/harzard_show.php?rid=4084&amp;url=harzardrecs.php" TargetMode="External"/><Relationship Id="rId_hyperlink_387" Type="http://schemas.openxmlformats.org/officeDocument/2006/relationships/hyperlink" Target="http://henontech.com/fieldsafety/harzard/harzard_show.php?rid=4086&amp;url=harzardrecs.php" TargetMode="External"/><Relationship Id="rId_hyperlink_388" Type="http://schemas.openxmlformats.org/officeDocument/2006/relationships/hyperlink" Target="http://henontech.com/fieldsafety/harzard/harzard_show.php?rid=4087&amp;url=harzardrecs.php" TargetMode="External"/><Relationship Id="rId_hyperlink_389" Type="http://schemas.openxmlformats.org/officeDocument/2006/relationships/hyperlink" Target="http://henontech.com/fieldsafety/harzard/harzard_show.php?rid=4088&amp;url=harzardrecs.php" TargetMode="External"/><Relationship Id="rId_hyperlink_390" Type="http://schemas.openxmlformats.org/officeDocument/2006/relationships/hyperlink" Target="http://henontech.com/fieldsafety/harzard/harzard_show.php?rid=4089&amp;url=harzardrecs.php" TargetMode="External"/><Relationship Id="rId_hyperlink_391" Type="http://schemas.openxmlformats.org/officeDocument/2006/relationships/hyperlink" Target="http://henontech.com/fieldsafety/harzard/harzard_show.php?rid=4092&amp;url=harzardrecs.php" TargetMode="External"/><Relationship Id="rId_hyperlink_392" Type="http://schemas.openxmlformats.org/officeDocument/2006/relationships/hyperlink" Target="http://henontech.com/fieldsafety/harzard/harzard_show.php?rid=4093&amp;url=harzardrecs.php" TargetMode="External"/><Relationship Id="rId_hyperlink_393" Type="http://schemas.openxmlformats.org/officeDocument/2006/relationships/hyperlink" Target="http://henontech.com/fieldsafety/harzard/harzard_show.php?rid=4094&amp;url=harzardrecs.php" TargetMode="External"/><Relationship Id="rId_hyperlink_394" Type="http://schemas.openxmlformats.org/officeDocument/2006/relationships/hyperlink" Target="http://henontech.com/fieldsafety/harzard/harzard_show.php?rid=4099&amp;url=harzardrecs.php" TargetMode="External"/><Relationship Id="rId_hyperlink_395" Type="http://schemas.openxmlformats.org/officeDocument/2006/relationships/hyperlink" Target="http://henontech.com/fieldsafety/harzard/harzard_show.php?rid=4101&amp;url=harzardrecs.php" TargetMode="External"/><Relationship Id="rId_hyperlink_396" Type="http://schemas.openxmlformats.org/officeDocument/2006/relationships/hyperlink" Target="http://henontech.com/fieldsafety/harzard/harzard_show.php?rid=4102&amp;url=harzardrecs.php" TargetMode="External"/><Relationship Id="rId_hyperlink_397" Type="http://schemas.openxmlformats.org/officeDocument/2006/relationships/hyperlink" Target="http://henontech.com/fieldsafety/harzard/harzard_show.php?rid=4103&amp;url=harzardrecs.php" TargetMode="External"/><Relationship Id="rId_hyperlink_398" Type="http://schemas.openxmlformats.org/officeDocument/2006/relationships/hyperlink" Target="http://henontech.com/fieldsafety/harzard/harzard_show.php?rid=4104&amp;url=harzardrecs.php" TargetMode="External"/><Relationship Id="rId_hyperlink_399" Type="http://schemas.openxmlformats.org/officeDocument/2006/relationships/hyperlink" Target="http://henontech.com/fieldsafety/harzard/harzard_show.php?rid=4107&amp;url=harzardrecs.php" TargetMode="External"/><Relationship Id="rId_hyperlink_400" Type="http://schemas.openxmlformats.org/officeDocument/2006/relationships/hyperlink" Target="http://henontech.com/fieldsafety/harzard/harzard_show.php?rid=4108&amp;url=harzardrecs.php" TargetMode="External"/><Relationship Id="rId_hyperlink_401" Type="http://schemas.openxmlformats.org/officeDocument/2006/relationships/hyperlink" Target="http://henontech.com/fieldsafety/harzard/harzard_show.php?rid=4109&amp;url=harzardrecs.php" TargetMode="External"/><Relationship Id="rId_hyperlink_402" Type="http://schemas.openxmlformats.org/officeDocument/2006/relationships/hyperlink" Target="http://henontech.com/fieldsafety/harzard/harzard_show.php?rid=4112&amp;url=harzardrecs.php" TargetMode="External"/><Relationship Id="rId_hyperlink_403" Type="http://schemas.openxmlformats.org/officeDocument/2006/relationships/hyperlink" Target="http://henontech.com/fieldsafety/harzard/harzard_show.php?rid=4115&amp;url=harzardrecs.php" TargetMode="External"/><Relationship Id="rId_hyperlink_404" Type="http://schemas.openxmlformats.org/officeDocument/2006/relationships/hyperlink" Target="http://henontech.com/fieldsafety/harzard/harzard_show.php?rid=4116&amp;url=harzardrecs.php" TargetMode="External"/><Relationship Id="rId_hyperlink_405" Type="http://schemas.openxmlformats.org/officeDocument/2006/relationships/hyperlink" Target="http://henontech.com/fieldsafety/harzard/harzard_show.php?rid=4118&amp;url=harzardrecs.php" TargetMode="External"/><Relationship Id="rId_hyperlink_406" Type="http://schemas.openxmlformats.org/officeDocument/2006/relationships/hyperlink" Target="http://henontech.com/fieldsafety/harzard/harzard_show.php?rid=4121&amp;url=harzardrecs.php" TargetMode="External"/><Relationship Id="rId_hyperlink_407" Type="http://schemas.openxmlformats.org/officeDocument/2006/relationships/hyperlink" Target="http://henontech.com/fieldsafety/harzard/harzard_show.php?rid=4125&amp;url=harzardrecs.php" TargetMode="External"/><Relationship Id="rId_hyperlink_408" Type="http://schemas.openxmlformats.org/officeDocument/2006/relationships/hyperlink" Target="http://henontech.com/fieldsafety/harzard/harzard_show.php?rid=4129&amp;url=harzardrecs.php" TargetMode="External"/><Relationship Id="rId_hyperlink_409" Type="http://schemas.openxmlformats.org/officeDocument/2006/relationships/hyperlink" Target="http://henontech.com/fieldsafety/harzard/harzard_show.php?rid=4130&amp;url=harzardrecs.php" TargetMode="External"/><Relationship Id="rId_hyperlink_410" Type="http://schemas.openxmlformats.org/officeDocument/2006/relationships/hyperlink" Target="http://henontech.com/fieldsafety/harzard/harzard_show.php?rid=4134&amp;url=harzardrecs.php" TargetMode="External"/><Relationship Id="rId_hyperlink_411" Type="http://schemas.openxmlformats.org/officeDocument/2006/relationships/hyperlink" Target="http://henontech.com/fieldsafety/harzard/harzard_show.php?rid=4135&amp;url=harzardrecs.php" TargetMode="External"/><Relationship Id="rId_hyperlink_412" Type="http://schemas.openxmlformats.org/officeDocument/2006/relationships/hyperlink" Target="http://henontech.com/fieldsafety/harzard/harzard_show.php?rid=4136&amp;url=harzardrecs.php" TargetMode="External"/><Relationship Id="rId_hyperlink_413" Type="http://schemas.openxmlformats.org/officeDocument/2006/relationships/hyperlink" Target="http://henontech.com/fieldsafety/harzard/harzard_show.php?rid=4137&amp;url=harzardrecs.php" TargetMode="External"/><Relationship Id="rId_hyperlink_414" Type="http://schemas.openxmlformats.org/officeDocument/2006/relationships/hyperlink" Target="http://henontech.com/fieldsafety/harzard/harzard_show.php?rid=4141&amp;url=harzardrecs.php" TargetMode="External"/><Relationship Id="rId_hyperlink_415" Type="http://schemas.openxmlformats.org/officeDocument/2006/relationships/hyperlink" Target="http://henontech.com/fieldsafety/harzard/harzard_show.php?rid=4142&amp;url=harzardrecs.php" TargetMode="External"/><Relationship Id="rId_hyperlink_416" Type="http://schemas.openxmlformats.org/officeDocument/2006/relationships/hyperlink" Target="http://henontech.com/fieldsafety/harzard/harzard_show.php?rid=4143&amp;url=harzardrecs.php" TargetMode="External"/><Relationship Id="rId_hyperlink_417" Type="http://schemas.openxmlformats.org/officeDocument/2006/relationships/hyperlink" Target="http://henontech.com/fieldsafety/harzard/harzard_show.php?rid=4145&amp;url=harzardrecs.php" TargetMode="External"/><Relationship Id="rId_hyperlink_418" Type="http://schemas.openxmlformats.org/officeDocument/2006/relationships/hyperlink" Target="http://henontech.com/fieldsafety/harzard/harzard_show.php?rid=4148&amp;url=harzardrecs.php" TargetMode="External"/><Relationship Id="rId_hyperlink_419" Type="http://schemas.openxmlformats.org/officeDocument/2006/relationships/hyperlink" Target="http://henontech.com/fieldsafety/harzard/harzard_show.php?rid=4151&amp;url=harzardrecs.php" TargetMode="External"/><Relationship Id="rId_hyperlink_420" Type="http://schemas.openxmlformats.org/officeDocument/2006/relationships/hyperlink" Target="http://henontech.com/fieldsafety/harzard/harzard_show.php?rid=4152&amp;url=harzardrecs.php" TargetMode="External"/><Relationship Id="rId_hyperlink_421" Type="http://schemas.openxmlformats.org/officeDocument/2006/relationships/hyperlink" Target="http://henontech.com/fieldsafety/harzard/harzard_show.php?rid=4153&amp;url=harzardrecs.php" TargetMode="External"/><Relationship Id="rId_hyperlink_422" Type="http://schemas.openxmlformats.org/officeDocument/2006/relationships/hyperlink" Target="http://henontech.com/fieldsafety/harzard/harzard_show.php?rid=4154&amp;url=harzardrecs.php" TargetMode="External"/><Relationship Id="rId_hyperlink_423" Type="http://schemas.openxmlformats.org/officeDocument/2006/relationships/hyperlink" Target="http://henontech.com/fieldsafety/harzard/harzard_show.php?rid=4157&amp;url=harzardrecs.php" TargetMode="External"/><Relationship Id="rId_hyperlink_424" Type="http://schemas.openxmlformats.org/officeDocument/2006/relationships/hyperlink" Target="http://henontech.com/fieldsafety/harzard/harzard_show.php?rid=4159&amp;url=harzardrecs.php" TargetMode="External"/><Relationship Id="rId_hyperlink_425" Type="http://schemas.openxmlformats.org/officeDocument/2006/relationships/hyperlink" Target="http://henontech.com/fieldsafety/harzard/harzard_show.php?rid=4160&amp;url=harzardrecs.php" TargetMode="External"/><Relationship Id="rId_hyperlink_426" Type="http://schemas.openxmlformats.org/officeDocument/2006/relationships/hyperlink" Target="http://henontech.com/fieldsafety/harzard/harzard_show.php?rid=4162&amp;url=harzardrecs.php" TargetMode="External"/><Relationship Id="rId_hyperlink_427" Type="http://schemas.openxmlformats.org/officeDocument/2006/relationships/hyperlink" Target="http://henontech.com/fieldsafety/harzard/harzard_show.php?rid=4163&amp;url=harzardrecs.php" TargetMode="External"/><Relationship Id="rId_hyperlink_428" Type="http://schemas.openxmlformats.org/officeDocument/2006/relationships/hyperlink" Target="http://henontech.com/fieldsafety/harzard/harzard_show.php?rid=4168&amp;url=harzardrecs.php" TargetMode="External"/><Relationship Id="rId_hyperlink_429" Type="http://schemas.openxmlformats.org/officeDocument/2006/relationships/hyperlink" Target="http://henontech.com/fieldsafety/harzard/harzard_show.php?rid=4173&amp;url=harzardrecs.php" TargetMode="External"/><Relationship Id="rId_hyperlink_430" Type="http://schemas.openxmlformats.org/officeDocument/2006/relationships/hyperlink" Target="http://henontech.com/fieldsafety/harzard/harzard_show.php?rid=4174&amp;url=harzardrecs.php" TargetMode="External"/><Relationship Id="rId_hyperlink_431" Type="http://schemas.openxmlformats.org/officeDocument/2006/relationships/hyperlink" Target="http://henontech.com/fieldsafety/harzard/harzard_show.php?rid=4177&amp;url=harzardrecs.php" TargetMode="External"/><Relationship Id="rId_hyperlink_432" Type="http://schemas.openxmlformats.org/officeDocument/2006/relationships/hyperlink" Target="http://henontech.com/fieldsafety/harzard/harzard_show.php?rid=4180&amp;url=harzardrecs.php" TargetMode="External"/><Relationship Id="rId_hyperlink_433" Type="http://schemas.openxmlformats.org/officeDocument/2006/relationships/hyperlink" Target="http://henontech.com/fieldsafety/harzard/harzard_show.php?rid=4182&amp;url=harzardrecs.php" TargetMode="External"/><Relationship Id="rId_hyperlink_434" Type="http://schemas.openxmlformats.org/officeDocument/2006/relationships/hyperlink" Target="http://henontech.com/fieldsafety/harzard/harzard_show.php?rid=4183&amp;url=harzardrecs.php" TargetMode="External"/><Relationship Id="rId_hyperlink_435" Type="http://schemas.openxmlformats.org/officeDocument/2006/relationships/hyperlink" Target="http://henontech.com/fieldsafety/harzard/harzard_show.php?rid=4187&amp;url=harzardrecs.php" TargetMode="External"/><Relationship Id="rId_hyperlink_436" Type="http://schemas.openxmlformats.org/officeDocument/2006/relationships/hyperlink" Target="http://henontech.com/fieldsafety/harzard/harzard_show.php?rid=4190&amp;url=harzardrecs.php" TargetMode="External"/><Relationship Id="rId_hyperlink_437" Type="http://schemas.openxmlformats.org/officeDocument/2006/relationships/hyperlink" Target="http://henontech.com/fieldsafety/harzard/harzard_show.php?rid=4191&amp;url=harzardrecs.php" TargetMode="External"/><Relationship Id="rId_hyperlink_438" Type="http://schemas.openxmlformats.org/officeDocument/2006/relationships/hyperlink" Target="http://henontech.com/fieldsafety/harzard/harzard_show.php?rid=4192&amp;url=harzardrecs.php" TargetMode="External"/><Relationship Id="rId_hyperlink_439" Type="http://schemas.openxmlformats.org/officeDocument/2006/relationships/hyperlink" Target="http://henontech.com/fieldsafety/harzard/harzard_show.php?rid=4195&amp;url=harzardrecs.php" TargetMode="External"/><Relationship Id="rId_hyperlink_440" Type="http://schemas.openxmlformats.org/officeDocument/2006/relationships/hyperlink" Target="http://henontech.com/fieldsafety/harzard/harzard_show.php?rid=4196&amp;url=harzardrecs.php" TargetMode="External"/><Relationship Id="rId_hyperlink_441" Type="http://schemas.openxmlformats.org/officeDocument/2006/relationships/hyperlink" Target="http://henontech.com/fieldsafety/harzard/harzard_show.php?rid=4197&amp;url=harzardrecs.php" TargetMode="External"/><Relationship Id="rId_hyperlink_442" Type="http://schemas.openxmlformats.org/officeDocument/2006/relationships/hyperlink" Target="http://henontech.com/fieldsafety/harzard/harzard_show.php?rid=4198&amp;url=harzardrecs.php" TargetMode="External"/><Relationship Id="rId_hyperlink_443" Type="http://schemas.openxmlformats.org/officeDocument/2006/relationships/hyperlink" Target="http://henontech.com/fieldsafety/harzard/harzard_show.php?rid=4199&amp;url=harzardrecs.php" TargetMode="External"/><Relationship Id="rId_hyperlink_444" Type="http://schemas.openxmlformats.org/officeDocument/2006/relationships/hyperlink" Target="http://henontech.com/fieldsafety/harzard/harzard_show.php?rid=4200&amp;url=harzardrecs.php" TargetMode="External"/><Relationship Id="rId_hyperlink_445" Type="http://schemas.openxmlformats.org/officeDocument/2006/relationships/hyperlink" Target="http://henontech.com/fieldsafety/harzard/harzard_show.php?rid=4201&amp;url=harzardrecs.php" TargetMode="External"/><Relationship Id="rId_hyperlink_446" Type="http://schemas.openxmlformats.org/officeDocument/2006/relationships/hyperlink" Target="http://henontech.com/fieldsafety/harzard/harzard_show.php?rid=4202&amp;url=harzardrecs.php" TargetMode="External"/><Relationship Id="rId_hyperlink_447" Type="http://schemas.openxmlformats.org/officeDocument/2006/relationships/hyperlink" Target="http://henontech.com/fieldsafety/harzard/harzard_show.php?rid=4203&amp;url=harzardrecs.php" TargetMode="External"/><Relationship Id="rId_hyperlink_448" Type="http://schemas.openxmlformats.org/officeDocument/2006/relationships/hyperlink" Target="http://henontech.com/fieldsafety/harzard/harzard_show.php?rid=4204&amp;url=harzardrecs.php" TargetMode="External"/><Relationship Id="rId_hyperlink_449" Type="http://schemas.openxmlformats.org/officeDocument/2006/relationships/hyperlink" Target="http://henontech.com/fieldsafety/harzard/harzard_show.php?rid=4205&amp;url=harzardrecs.php" TargetMode="External"/><Relationship Id="rId_hyperlink_450" Type="http://schemas.openxmlformats.org/officeDocument/2006/relationships/hyperlink" Target="http://henontech.com/fieldsafety/harzard/harzard_show.php?rid=4206&amp;url=harzardrecs.php" TargetMode="External"/><Relationship Id="rId_hyperlink_451" Type="http://schemas.openxmlformats.org/officeDocument/2006/relationships/hyperlink" Target="http://henontech.com/fieldsafety/harzard/harzard_show.php?rid=4207&amp;url=harzardrecs.php" TargetMode="External"/><Relationship Id="rId_hyperlink_452" Type="http://schemas.openxmlformats.org/officeDocument/2006/relationships/hyperlink" Target="http://henontech.com/fieldsafety/harzard/harzard_show.php?rid=4208&amp;url=harzardrecs.php" TargetMode="External"/><Relationship Id="rId_hyperlink_453" Type="http://schemas.openxmlformats.org/officeDocument/2006/relationships/hyperlink" Target="http://henontech.com/fieldsafety/harzard/harzard_show.php?rid=4209&amp;url=harzardrecs.php" TargetMode="External"/><Relationship Id="rId_hyperlink_454" Type="http://schemas.openxmlformats.org/officeDocument/2006/relationships/hyperlink" Target="http://henontech.com/fieldsafety/harzard/harzard_show.php?rid=4210&amp;url=harzardrecs.php" TargetMode="External"/><Relationship Id="rId_hyperlink_455" Type="http://schemas.openxmlformats.org/officeDocument/2006/relationships/hyperlink" Target="http://henontech.com/fieldsafety/harzard/harzard_show.php?rid=4211&amp;url=harzardrecs.php" TargetMode="External"/><Relationship Id="rId_hyperlink_456" Type="http://schemas.openxmlformats.org/officeDocument/2006/relationships/hyperlink" Target="http://henontech.com/fieldsafety/harzard/harzard_show.php?rid=4212&amp;url=harzardrecs.php" TargetMode="External"/><Relationship Id="rId_hyperlink_457" Type="http://schemas.openxmlformats.org/officeDocument/2006/relationships/hyperlink" Target="http://henontech.com/fieldsafety/harzard/harzard_show.php?rid=4213&amp;url=harzardrecs.php" TargetMode="External"/><Relationship Id="rId_hyperlink_458" Type="http://schemas.openxmlformats.org/officeDocument/2006/relationships/hyperlink" Target="http://henontech.com/fieldsafety/harzard/harzard_show.php?rid=4214&amp;url=harzardrecs.php" TargetMode="External"/><Relationship Id="rId_hyperlink_459" Type="http://schemas.openxmlformats.org/officeDocument/2006/relationships/hyperlink" Target="http://henontech.com/fieldsafety/harzard/harzard_show.php?rid=4215&amp;url=harzardrecs.php" TargetMode="External"/><Relationship Id="rId_hyperlink_460" Type="http://schemas.openxmlformats.org/officeDocument/2006/relationships/hyperlink" Target="http://henontech.com/fieldsafety/harzard/harzard_show.php?rid=4216&amp;url=harzardrecs.php" TargetMode="External"/><Relationship Id="rId_hyperlink_461" Type="http://schemas.openxmlformats.org/officeDocument/2006/relationships/hyperlink" Target="http://henontech.com/fieldsafety/harzard/harzard_show.php?rid=4217&amp;url=harzardrecs.php" TargetMode="External"/><Relationship Id="rId_hyperlink_462" Type="http://schemas.openxmlformats.org/officeDocument/2006/relationships/hyperlink" Target="http://henontech.com/fieldsafety/harzard/harzard_show.php?rid=4218&amp;url=harzardrecs.php" TargetMode="External"/><Relationship Id="rId_hyperlink_463" Type="http://schemas.openxmlformats.org/officeDocument/2006/relationships/hyperlink" Target="http://henontech.com/fieldsafety/harzard/harzard_show.php?rid=4219&amp;url=harzardrecs.php" TargetMode="External"/><Relationship Id="rId_hyperlink_464" Type="http://schemas.openxmlformats.org/officeDocument/2006/relationships/hyperlink" Target="http://henontech.com/fieldsafety/harzard/harzard_show.php?rid=4220&amp;url=harzardrecs.php" TargetMode="External"/><Relationship Id="rId_hyperlink_465" Type="http://schemas.openxmlformats.org/officeDocument/2006/relationships/hyperlink" Target="http://henontech.com/fieldsafety/harzard/harzard_show.php?rid=4221&amp;url=harzardrecs.php" TargetMode="External"/><Relationship Id="rId_hyperlink_466" Type="http://schemas.openxmlformats.org/officeDocument/2006/relationships/hyperlink" Target="http://henontech.com/fieldsafety/harzard/harzard_show.php?rid=4222&amp;url=harzardrecs.php" TargetMode="External"/><Relationship Id="rId_hyperlink_467" Type="http://schemas.openxmlformats.org/officeDocument/2006/relationships/hyperlink" Target="http://henontech.com/fieldsafety/harzard/harzard_show.php?rid=4223&amp;url=harzardrecs.php" TargetMode="External"/><Relationship Id="rId_hyperlink_468" Type="http://schemas.openxmlformats.org/officeDocument/2006/relationships/hyperlink" Target="http://henontech.com/fieldsafety/harzard/harzard_show.php?rid=4224&amp;url=harzardrecs.php" TargetMode="External"/><Relationship Id="rId_hyperlink_469" Type="http://schemas.openxmlformats.org/officeDocument/2006/relationships/hyperlink" Target="http://henontech.com/fieldsafety/harzard/harzard_show.php?rid=4225&amp;url=harzardrecs.php" TargetMode="External"/><Relationship Id="rId_hyperlink_470" Type="http://schemas.openxmlformats.org/officeDocument/2006/relationships/hyperlink" Target="http://henontech.com/fieldsafety/harzard/harzard_show.php?rid=4226&amp;url=harzardrecs.php" TargetMode="External"/><Relationship Id="rId_hyperlink_471" Type="http://schemas.openxmlformats.org/officeDocument/2006/relationships/hyperlink" Target="http://henontech.com/fieldsafety/harzard/harzard_show.php?rid=4227&amp;url=harzardrecs.php" TargetMode="External"/><Relationship Id="rId_hyperlink_472" Type="http://schemas.openxmlformats.org/officeDocument/2006/relationships/hyperlink" Target="http://henontech.com/fieldsafety/harzard/harzard_show.php?rid=4228&amp;url=harzardrecs.php" TargetMode="External"/><Relationship Id="rId_hyperlink_473" Type="http://schemas.openxmlformats.org/officeDocument/2006/relationships/hyperlink" Target="http://henontech.com/fieldsafety/harzard/harzard_show.php?rid=4229&amp;url=harzardrecs.php" TargetMode="External"/><Relationship Id="rId_hyperlink_474" Type="http://schemas.openxmlformats.org/officeDocument/2006/relationships/hyperlink" Target="http://henontech.com/fieldsafety/harzard/harzard_show.php?rid=4230&amp;url=harzardrecs.php" TargetMode="External"/><Relationship Id="rId_hyperlink_475" Type="http://schemas.openxmlformats.org/officeDocument/2006/relationships/hyperlink" Target="http://henontech.com/fieldsafety/harzard/harzard_show.php?rid=4231&amp;url=harzardrecs.php" TargetMode="External"/><Relationship Id="rId_hyperlink_476" Type="http://schemas.openxmlformats.org/officeDocument/2006/relationships/hyperlink" Target="http://henontech.com/fieldsafety/harzard/harzard_show.php?rid=4232&amp;url=harzardrecs.php" TargetMode="External"/><Relationship Id="rId_hyperlink_477" Type="http://schemas.openxmlformats.org/officeDocument/2006/relationships/hyperlink" Target="http://henontech.com/fieldsafety/harzard/harzard_show.php?rid=4235&amp;url=harzardrecs.php" TargetMode="External"/><Relationship Id="rId_hyperlink_478" Type="http://schemas.openxmlformats.org/officeDocument/2006/relationships/hyperlink" Target="http://henontech.com/fieldsafety/harzard/harzard_show.php?rid=4236&amp;url=harzardrecs.php" TargetMode="External"/><Relationship Id="rId_hyperlink_479" Type="http://schemas.openxmlformats.org/officeDocument/2006/relationships/hyperlink" Target="http://henontech.com/fieldsafety/harzard/harzard_show.php?rid=4237&amp;url=harzardrecs.php" TargetMode="External"/><Relationship Id="rId_hyperlink_480" Type="http://schemas.openxmlformats.org/officeDocument/2006/relationships/hyperlink" Target="http://henontech.com/fieldsafety/harzard/harzard_show.php?rid=4237&amp;url=harzardrecs.php" TargetMode="External"/><Relationship Id="rId_hyperlink_481" Type="http://schemas.openxmlformats.org/officeDocument/2006/relationships/hyperlink" Target="http://henontech.com/fieldsafety/harzard/harzard_show.php?rid=4238&amp;url=harzardrecs.php" TargetMode="External"/><Relationship Id="rId_hyperlink_482" Type="http://schemas.openxmlformats.org/officeDocument/2006/relationships/hyperlink" Target="http://henontech.com/fieldsafety/harzard/harzard_show.php?rid=4239&amp;url=harzardrecs.php" TargetMode="External"/><Relationship Id="rId_hyperlink_483" Type="http://schemas.openxmlformats.org/officeDocument/2006/relationships/hyperlink" Target="http://henontech.com/fieldsafety/harzard/harzard_show.php?rid=4240&amp;url=harzardrecs.php" TargetMode="External"/><Relationship Id="rId_hyperlink_484" Type="http://schemas.openxmlformats.org/officeDocument/2006/relationships/hyperlink" Target="http://henontech.com/fieldsafety/harzard/harzard_show.php?rid=4241&amp;url=harzardrecs.php" TargetMode="External"/><Relationship Id="rId_hyperlink_485" Type="http://schemas.openxmlformats.org/officeDocument/2006/relationships/hyperlink" Target="http://henontech.com/fieldsafety/harzard/harzard_show.php?rid=4244&amp;url=harzardrecs.php" TargetMode="External"/><Relationship Id="rId_hyperlink_486" Type="http://schemas.openxmlformats.org/officeDocument/2006/relationships/hyperlink" Target="http://henontech.com/fieldsafety/harzard/harzard_show.php?rid=4245&amp;url=harzardrecs.php" TargetMode="External"/><Relationship Id="rId_hyperlink_487" Type="http://schemas.openxmlformats.org/officeDocument/2006/relationships/hyperlink" Target="http://henontech.com/fieldsafety/harzard/harzard_show.php?rid=4246&amp;url=harzardrecs.php" TargetMode="External"/><Relationship Id="rId_hyperlink_488" Type="http://schemas.openxmlformats.org/officeDocument/2006/relationships/hyperlink" Target="http://henontech.com/fieldsafety/harzard/harzard_show.php?rid=4247&amp;url=harzardrecs.php" TargetMode="External"/><Relationship Id="rId_hyperlink_489" Type="http://schemas.openxmlformats.org/officeDocument/2006/relationships/hyperlink" Target="http://henontech.com/fieldsafety/harzard/harzard_show.php?rid=4248&amp;url=harzardrecs.php" TargetMode="External"/><Relationship Id="rId_hyperlink_490" Type="http://schemas.openxmlformats.org/officeDocument/2006/relationships/hyperlink" Target="http://henontech.com/fieldsafety/harzard/harzard_show.php?rid=4249&amp;url=harzardrecs.php" TargetMode="External"/><Relationship Id="rId_hyperlink_491" Type="http://schemas.openxmlformats.org/officeDocument/2006/relationships/hyperlink" Target="http://henontech.com/fieldsafety/harzard/harzard_show.php?rid=4250&amp;url=harzardrecs.php" TargetMode="External"/><Relationship Id="rId_hyperlink_492" Type="http://schemas.openxmlformats.org/officeDocument/2006/relationships/hyperlink" Target="http://henontech.com/fieldsafety/harzard/harzard_show.php?rid=4251&amp;url=harzardrecs.php" TargetMode="External"/><Relationship Id="rId_hyperlink_493" Type="http://schemas.openxmlformats.org/officeDocument/2006/relationships/hyperlink" Target="http://henontech.com/fieldsafety/harzard/harzard_show.php?rid=4252&amp;url=harzardrecs.php" TargetMode="External"/><Relationship Id="rId_hyperlink_494" Type="http://schemas.openxmlformats.org/officeDocument/2006/relationships/hyperlink" Target="http://henontech.com/fieldsafety/harzard/harzard_show.php?rid=4253&amp;url=harzardrecs.php" TargetMode="External"/><Relationship Id="rId_hyperlink_495" Type="http://schemas.openxmlformats.org/officeDocument/2006/relationships/hyperlink" Target="http://henontech.com/fieldsafety/harzard/harzard_show.php?rid=4254&amp;url=harzardrecs.php" TargetMode="External"/><Relationship Id="rId_hyperlink_496" Type="http://schemas.openxmlformats.org/officeDocument/2006/relationships/hyperlink" Target="http://henontech.com/fieldsafety/harzard/harzard_show.php?rid=4255&amp;url=harzardrecs.php" TargetMode="External"/><Relationship Id="rId_hyperlink_497" Type="http://schemas.openxmlformats.org/officeDocument/2006/relationships/hyperlink" Target="http://henontech.com/fieldsafety/harzard/harzard_show.php?rid=4256&amp;url=harzardrecs.php" TargetMode="External"/><Relationship Id="rId_hyperlink_498" Type="http://schemas.openxmlformats.org/officeDocument/2006/relationships/hyperlink" Target="http://henontech.com/fieldsafety/harzard/harzard_show.php?rid=4257&amp;url=harzardrecs.php" TargetMode="External"/><Relationship Id="rId_hyperlink_499" Type="http://schemas.openxmlformats.org/officeDocument/2006/relationships/hyperlink" Target="http://henontech.com/fieldsafety/harzard/harzard_show.php?rid=4258&amp;url=harzardrecs.php" TargetMode="External"/><Relationship Id="rId_hyperlink_500" Type="http://schemas.openxmlformats.org/officeDocument/2006/relationships/hyperlink" Target="http://henontech.com/fieldsafety/harzard/harzard_show.php?rid=4259&amp;url=harzardrecs.php" TargetMode="External"/><Relationship Id="rId_hyperlink_501" Type="http://schemas.openxmlformats.org/officeDocument/2006/relationships/hyperlink" Target="http://henontech.com/fieldsafety/harzard/harzard_show.php?rid=4260&amp;url=harzardrecs.php" TargetMode="External"/><Relationship Id="rId_hyperlink_502" Type="http://schemas.openxmlformats.org/officeDocument/2006/relationships/hyperlink" Target="http://henontech.com/fieldsafety/harzard/harzard_show.php?rid=4261&amp;url=harzardrecs.php" TargetMode="External"/><Relationship Id="rId_hyperlink_503" Type="http://schemas.openxmlformats.org/officeDocument/2006/relationships/hyperlink" Target="http://henontech.com/fieldsafety/harzard/harzard_show.php?rid=4262&amp;url=harzardrecs.php" TargetMode="External"/><Relationship Id="rId_hyperlink_504" Type="http://schemas.openxmlformats.org/officeDocument/2006/relationships/hyperlink" Target="http://henontech.com/fieldsafety/harzard/harzard_show.php?rid=4264&amp;url=harzardrecs.php" TargetMode="External"/><Relationship Id="rId_hyperlink_505" Type="http://schemas.openxmlformats.org/officeDocument/2006/relationships/hyperlink" Target="http://henontech.com/fieldsafety/harzard/harzard_show.php?rid=4266&amp;url=harzardrecs.php" TargetMode="External"/><Relationship Id="rId_hyperlink_506" Type="http://schemas.openxmlformats.org/officeDocument/2006/relationships/hyperlink" Target="http://henontech.com/fieldsafety/harzard/harzard_show.php?rid=4267&amp;url=harzardrecs.php" TargetMode="External"/><Relationship Id="rId_hyperlink_507" Type="http://schemas.openxmlformats.org/officeDocument/2006/relationships/hyperlink" Target="http://henontech.com/fieldsafety/harzard/harzard_show.php?rid=4269&amp;url=harzardrecs.php" TargetMode="External"/><Relationship Id="rId_hyperlink_508" Type="http://schemas.openxmlformats.org/officeDocument/2006/relationships/hyperlink" Target="http://henontech.com/fieldsafety/harzard/harzard_show.php?rid=4270&amp;url=harzardrecs.php" TargetMode="External"/><Relationship Id="rId_hyperlink_509" Type="http://schemas.openxmlformats.org/officeDocument/2006/relationships/hyperlink" Target="http://henontech.com/fieldsafety/harzard/harzard_show.php?rid=4271&amp;url=harzardrecs.php" TargetMode="External"/><Relationship Id="rId_hyperlink_510" Type="http://schemas.openxmlformats.org/officeDocument/2006/relationships/hyperlink" Target="http://henontech.com/fieldsafety/harzard/harzard_show.php?rid=4274&amp;url=harzardrecs.php" TargetMode="External"/><Relationship Id="rId_hyperlink_511" Type="http://schemas.openxmlformats.org/officeDocument/2006/relationships/hyperlink" Target="http://henontech.com/fieldsafety/harzard/harzard_show.php?rid=4276&amp;url=harzardrecs.php" TargetMode="External"/><Relationship Id="rId_hyperlink_512" Type="http://schemas.openxmlformats.org/officeDocument/2006/relationships/hyperlink" Target="http://henontech.com/fieldsafety/harzard/harzard_show.php?rid=4277&amp;url=harzardrecs.php" TargetMode="External"/><Relationship Id="rId_hyperlink_513" Type="http://schemas.openxmlformats.org/officeDocument/2006/relationships/hyperlink" Target="http://henontech.com/fieldsafety/harzard/harzard_show.php?rid=4279&amp;url=harzardrecs.php" TargetMode="External"/><Relationship Id="rId_hyperlink_514" Type="http://schemas.openxmlformats.org/officeDocument/2006/relationships/hyperlink" Target="http://henontech.com/fieldsafety/harzard/harzard_show.php?rid=4281&amp;url=harzardrecs.php" TargetMode="External"/><Relationship Id="rId_hyperlink_515" Type="http://schemas.openxmlformats.org/officeDocument/2006/relationships/hyperlink" Target="http://henontech.com/fieldsafety/harzard/harzard_show.php?rid=4282&amp;url=harzardrecs.php" TargetMode="External"/><Relationship Id="rId_hyperlink_516" Type="http://schemas.openxmlformats.org/officeDocument/2006/relationships/hyperlink" Target="http://henontech.com/fieldsafety/harzard/harzard_show.php?rid=4283&amp;url=harzardrecs.php" TargetMode="External"/><Relationship Id="rId_hyperlink_517" Type="http://schemas.openxmlformats.org/officeDocument/2006/relationships/hyperlink" Target="http://henontech.com/fieldsafety/harzard/harzard_show.php?rid=4284&amp;url=harzardrecs.php"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522"/>
  <sheetViews>
    <sheetView tabSelected="1" workbookViewId="0" showGridLines="true" showRowColHeaders="1">
      <pane xSplit="4" ySplit="5" topLeftCell="E6" activePane="bottomRight" state="frozen"/>
      <selection pane="topRight"/>
      <selection pane="bottomLeft"/>
      <selection pane="bottomRight" activeCell="E6" sqref="E6"/>
    </sheetView>
  </sheetViews>
  <sheetFormatPr defaultRowHeight="14.4" outlineLevelRow="0" outlineLevelCol="0"/>
  <cols>
    <col min="1" max="1" width="5" customWidth="true" style="0"/>
    <col min="2" max="2" width="9" customWidth="true" style="0"/>
    <col min="4" max="4" width="65" customWidth="true" style="0"/>
    <col min="5" max="5" width="36" customWidth="true" style="0"/>
    <col min="6" max="6" width="9" customWidth="true" style="0"/>
    <col min="9" max="9" width="12" customWidth="true" style="0"/>
    <col min="10" max="10" width="12" customWidth="true" style="0"/>
    <col min="11" max="11" width="12" customWidth="true" style="0"/>
    <col min="12" max="12" width="12" customWidth="true" style="0"/>
    <col min="13" max="13" width="13" customWidth="true" style="0"/>
    <col min="15" max="15" width="13" customWidth="true" style="0"/>
    <col min="18" max="18" width="18" customWidth="true" style="0"/>
    <col min="19" max="19" width="30" customWidth="true" style="0"/>
    <col min="24" max="24" width="16" customWidth="true" style="0"/>
    <col min="25" max="25" width="16" customWidth="true" style="0"/>
    <col min="26" max="26" width="65" customWidth="true" style="0"/>
    <col min="32" max="32" width="50" customWidth="true" style="0"/>
  </cols>
  <sheetData>
    <row r="1" spans="1:34" customHeight="1" ht="30">
      <c r="E1" s="2" t="s">
        <v>0</v>
      </c>
      <c r="F1" s="2"/>
      <c r="G1" s="2"/>
      <c r="H1" s="2"/>
      <c r="I1" s="2"/>
      <c r="J1" s="2"/>
      <c r="K1" s="2"/>
      <c r="L1" s="2"/>
      <c r="M1" s="2"/>
    </row>
    <row r="2" spans="1:34">
      <c r="E2" s="1" t="s">
        <v>1</v>
      </c>
      <c r="F2" s="1"/>
      <c r="G2" s="1"/>
      <c r="H2" s="1"/>
      <c r="I2" s="1"/>
      <c r="J2" s="1"/>
      <c r="K2" s="1"/>
      <c r="L2" s="1"/>
      <c r="M2" s="1"/>
    </row>
    <row r="3" spans="1:34">
      <c r="E3"/>
    </row>
    <row r="4" spans="1:34">
      <c r="A4" s="10" t="s">
        <v>2</v>
      </c>
      <c r="B4" s="11"/>
      <c r="C4" s="11"/>
      <c r="D4" s="11"/>
      <c r="E4" s="11"/>
      <c r="F4" s="11"/>
      <c r="G4" s="12" t="s">
        <v>3</v>
      </c>
      <c r="H4" s="13"/>
      <c r="I4" s="13"/>
      <c r="J4" s="13"/>
      <c r="K4" s="13"/>
      <c r="L4" s="13"/>
      <c r="M4" s="13"/>
      <c r="N4" s="13"/>
      <c r="O4" s="13"/>
      <c r="P4" s="13"/>
      <c r="Q4" s="13"/>
      <c r="R4" s="13"/>
      <c r="S4" s="13"/>
      <c r="T4" s="10" t="s">
        <v>4</v>
      </c>
      <c r="U4" s="11"/>
      <c r="V4" s="11"/>
      <c r="W4" s="11"/>
      <c r="X4" s="14" t="s">
        <v>5</v>
      </c>
      <c r="Y4" s="15"/>
      <c r="Z4" s="16" t="s">
        <v>6</v>
      </c>
      <c r="AA4" s="17"/>
      <c r="AB4" s="17"/>
      <c r="AC4" s="17"/>
      <c r="AD4" s="17"/>
      <c r="AE4" s="17"/>
      <c r="AF4" s="17"/>
      <c r="AG4" s="18"/>
      <c r="AH4" s="18"/>
    </row>
    <row r="5" spans="1:34">
      <c r="A5" s="4" t="s">
        <v>7</v>
      </c>
      <c r="B5" s="4" t="s">
        <v>8</v>
      </c>
      <c r="C5" s="4" t="s">
        <v>9</v>
      </c>
      <c r="D5" s="3" t="s">
        <v>10</v>
      </c>
      <c r="E5" s="3" t="s">
        <v>11</v>
      </c>
      <c r="F5" s="4" t="s">
        <v>12</v>
      </c>
      <c r="G5" s="6" t="s">
        <v>13</v>
      </c>
      <c r="H5" s="6" t="s">
        <v>14</v>
      </c>
      <c r="I5" s="6" t="s">
        <v>15</v>
      </c>
      <c r="J5" s="6" t="s">
        <v>16</v>
      </c>
      <c r="K5" s="6" t="s">
        <v>17</v>
      </c>
      <c r="L5" s="6" t="s">
        <v>18</v>
      </c>
      <c r="M5" s="6" t="s">
        <v>19</v>
      </c>
      <c r="N5" s="6" t="s">
        <v>20</v>
      </c>
      <c r="O5" s="6" t="s">
        <v>21</v>
      </c>
      <c r="P5" s="6" t="s">
        <v>22</v>
      </c>
      <c r="Q5" s="6" t="s">
        <v>23</v>
      </c>
      <c r="R5" s="5" t="s">
        <v>24</v>
      </c>
      <c r="S5" s="5" t="s">
        <v>25</v>
      </c>
      <c r="T5" s="4" t="s">
        <v>26</v>
      </c>
      <c r="U5" s="4" t="s">
        <v>27</v>
      </c>
      <c r="V5" s="4" t="s">
        <v>28</v>
      </c>
      <c r="W5" s="4" t="s">
        <v>29</v>
      </c>
      <c r="X5" s="7" t="s">
        <v>30</v>
      </c>
      <c r="Y5" s="7" t="s">
        <v>31</v>
      </c>
      <c r="Z5" s="8" t="s">
        <v>32</v>
      </c>
      <c r="AA5" s="9" t="s">
        <v>33</v>
      </c>
      <c r="AB5" s="9" t="s">
        <v>34</v>
      </c>
      <c r="AC5" s="9" t="s">
        <v>35</v>
      </c>
      <c r="AD5" s="9" t="s">
        <v>36</v>
      </c>
      <c r="AE5" s="9" t="s">
        <v>37</v>
      </c>
      <c r="AF5" s="8" t="s">
        <v>38</v>
      </c>
    </row>
    <row r="6" spans="1:34" customHeight="1" ht="42">
      <c r="A6" s="19">
        <v>1</v>
      </c>
      <c r="B6" s="19" t="s">
        <v>39</v>
      </c>
      <c r="C6" s="19" t="s">
        <v>40</v>
      </c>
      <c r="D6" s="19" t="str">
        <f>HYPERLINK("http://henontech.com/fieldsafety/harzard/harzard_show.php?rid=920&amp;url=harzardrecs.php","爬梯上部出入口被一水管横贯，阻碍通行，若1名职工在巡检时下爬梯过程中，腿部不慎被水管绊倒向前倾跌落近4m落差爬梯，头部着地造成颅骨粉碎性骨折，送医救治无效死亡。")</f>
        <v>爬梯上部出入口被一水管横贯，阻碍通行，若1名职工在巡检时下爬梯过程中，腿部不慎被水管绊倒向前倾跌落近4m落差爬梯，头部着地造成颅骨粉碎性骨折，送医救治无效死亡。</v>
      </c>
      <c r="E6" s="19" t="s">
        <v>41</v>
      </c>
      <c r="F6" s="20" t="s">
        <v>42</v>
      </c>
      <c r="G6" s="21" t="s">
        <v>43</v>
      </c>
      <c r="H6" s="19" t="s">
        <v>44</v>
      </c>
      <c r="I6" s="19"/>
      <c r="J6" s="19" t="s">
        <v>45</v>
      </c>
      <c r="K6" s="19"/>
      <c r="L6" s="19"/>
      <c r="M6" s="19" t="s">
        <v>46</v>
      </c>
      <c r="N6" s="19" t="s">
        <v>47</v>
      </c>
      <c r="O6" s="19" t="s">
        <v>46</v>
      </c>
      <c r="P6" s="19" t="s">
        <v>48</v>
      </c>
      <c r="Q6" s="19" t="s">
        <v>49</v>
      </c>
      <c r="R6" s="19" t="s">
        <v>50</v>
      </c>
      <c r="S6" s="19" t="s">
        <v>51</v>
      </c>
      <c r="T6" s="19" t="s">
        <v>52</v>
      </c>
      <c r="U6" s="19" t="s">
        <v>53</v>
      </c>
      <c r="V6" s="19" t="s">
        <v>54</v>
      </c>
      <c r="W6" s="19" t="s">
        <v>55</v>
      </c>
      <c r="X6" s="19" t="s">
        <v>56</v>
      </c>
      <c r="Y6" s="19" t="s">
        <v>56</v>
      </c>
      <c r="Z6" s="19" t="s">
        <v>57</v>
      </c>
      <c r="AA6" s="19">
        <v>2</v>
      </c>
      <c r="AB6" s="19">
        <v>2</v>
      </c>
      <c r="AC6" s="19" t="s">
        <v>58</v>
      </c>
      <c r="AD6" s="19" t="s">
        <v>48</v>
      </c>
      <c r="AE6" s="19" t="s">
        <v>59</v>
      </c>
      <c r="AF6" s="19" t="s">
        <v>60</v>
      </c>
    </row>
    <row r="7" spans="1:34">
      <c r="A7" s="19">
        <v>2</v>
      </c>
      <c r="B7" s="19" t="s">
        <v>61</v>
      </c>
      <c r="C7" s="19" t="s">
        <v>62</v>
      </c>
      <c r="D7" s="19" t="str">
        <f>HYPERLINK("http://henontech.com/fieldsafety/harzard/harzard_show.php?rid=923&amp;url=harzardrecs.php","雨挡部分松动脱落，遇大风天气雨挡坠落后砸伤下部通行人员，肩部损伤。")</f>
        <v>雨挡部分松动脱落，遇大风天气雨挡坠落后砸伤下部通行人员，肩部损伤。</v>
      </c>
      <c r="E7" s="19" t="s">
        <v>63</v>
      </c>
      <c r="F7" s="20" t="s">
        <v>42</v>
      </c>
      <c r="G7" s="22" t="s">
        <v>64</v>
      </c>
      <c r="H7" s="19" t="s">
        <v>44</v>
      </c>
      <c r="I7" s="19"/>
      <c r="J7" s="19" t="s">
        <v>45</v>
      </c>
      <c r="K7" s="19"/>
      <c r="L7" s="19"/>
      <c r="M7" s="19" t="s">
        <v>46</v>
      </c>
      <c r="N7" s="19" t="s">
        <v>65</v>
      </c>
      <c r="O7" s="19" t="s">
        <v>46</v>
      </c>
      <c r="P7" s="19" t="s">
        <v>66</v>
      </c>
      <c r="Q7" s="19" t="s">
        <v>67</v>
      </c>
      <c r="R7" s="19" t="s">
        <v>68</v>
      </c>
      <c r="S7" s="19" t="s">
        <v>69</v>
      </c>
      <c r="T7" s="19" t="s">
        <v>52</v>
      </c>
      <c r="U7" s="19" t="s">
        <v>70</v>
      </c>
      <c r="V7" s="19" t="s">
        <v>71</v>
      </c>
      <c r="W7" s="19" t="s">
        <v>72</v>
      </c>
      <c r="X7" s="19" t="s">
        <v>73</v>
      </c>
      <c r="Y7" s="19"/>
      <c r="Z7" s="19" t="s">
        <v>74</v>
      </c>
      <c r="AA7" s="19">
        <v>2</v>
      </c>
      <c r="AB7" s="19">
        <v>2</v>
      </c>
      <c r="AC7" s="19" t="s">
        <v>58</v>
      </c>
      <c r="AD7" s="19" t="s">
        <v>66</v>
      </c>
      <c r="AE7" s="19" t="s">
        <v>75</v>
      </c>
      <c r="AF7" s="19" t="s">
        <v>76</v>
      </c>
    </row>
    <row r="8" spans="1:34">
      <c r="A8" s="19"/>
      <c r="B8" s="19"/>
      <c r="C8" s="19"/>
      <c r="D8" s="19" t="str">
        <f>HYPERLINK("http://henontech.com/fieldsafety/harzard/harzard_show.php?rid=923&amp;url=harzardrecs.php","雨挡部分松动脱落，遇大风天气全部脱落，送煤车走行时剐蹭雨挡损坏磨电轨，造成送煤车无法运行，半小时内无法正常生产出焦，损失3000元。")</f>
        <v>雨挡部分松动脱落，遇大风天气全部脱落，送煤车走行时剐蹭雨挡损坏磨电轨，造成送煤车无法运行，半小时内无法正常生产出焦，损失3000元。</v>
      </c>
      <c r="E8" s="19" t="s">
        <v>77</v>
      </c>
      <c r="F8" s="19"/>
      <c r="G8" s="19"/>
      <c r="H8" s="19"/>
      <c r="I8" s="19"/>
      <c r="J8" s="19" t="s">
        <v>45</v>
      </c>
      <c r="K8" s="19"/>
      <c r="L8" s="19"/>
      <c r="M8" s="19"/>
      <c r="N8" s="19"/>
      <c r="O8" s="19"/>
      <c r="P8" s="19"/>
      <c r="Q8" s="19"/>
      <c r="R8" s="19"/>
      <c r="S8" s="19"/>
      <c r="T8" s="19" t="s">
        <v>78</v>
      </c>
      <c r="U8" s="19" t="s">
        <v>79</v>
      </c>
      <c r="V8" s="19" t="s">
        <v>80</v>
      </c>
      <c r="W8" s="19" t="s">
        <v>81</v>
      </c>
      <c r="X8" s="19"/>
      <c r="Y8" s="19"/>
      <c r="Z8" s="19"/>
      <c r="AA8" s="19"/>
      <c r="AB8" s="19"/>
      <c r="AC8" s="19"/>
      <c r="AD8" s="19"/>
      <c r="AE8" s="19"/>
      <c r="AF8" s="19"/>
    </row>
    <row r="9" spans="1:34" customHeight="1" ht="42">
      <c r="A9" s="19">
        <v>3</v>
      </c>
      <c r="B9" s="19" t="s">
        <v>82</v>
      </c>
      <c r="C9" s="19" t="s">
        <v>83</v>
      </c>
      <c r="D9" s="19" t="str">
        <f>HYPERLINK("http://henontech.com/fieldsafety/harzard/harzard_show.php?rid=924&amp;url=harzardrecs.php","铁板未盖严，人员经过踩到此处，铁板移动不慎摔倒，人员小腿断裂，造成损工。")</f>
        <v>铁板未盖严，人员经过踩到此处，铁板移动不慎摔倒，人员小腿断裂，造成损工。</v>
      </c>
      <c r="E9" s="19" t="s">
        <v>84</v>
      </c>
      <c r="F9" s="20" t="s">
        <v>42</v>
      </c>
      <c r="G9" s="22" t="s">
        <v>64</v>
      </c>
      <c r="H9" s="19" t="s">
        <v>44</v>
      </c>
      <c r="I9" s="19"/>
      <c r="J9" s="19" t="s">
        <v>45</v>
      </c>
      <c r="K9" s="19"/>
      <c r="L9" s="19"/>
      <c r="M9" s="19" t="s">
        <v>46</v>
      </c>
      <c r="N9" s="19" t="s">
        <v>85</v>
      </c>
      <c r="O9" s="19" t="s">
        <v>46</v>
      </c>
      <c r="P9" s="19" t="s">
        <v>48</v>
      </c>
      <c r="Q9" s="19" t="s">
        <v>86</v>
      </c>
      <c r="R9" s="19" t="s">
        <v>87</v>
      </c>
      <c r="S9" s="19" t="s">
        <v>88</v>
      </c>
      <c r="T9" s="19" t="s">
        <v>52</v>
      </c>
      <c r="U9" s="19" t="s">
        <v>89</v>
      </c>
      <c r="V9" s="19" t="s">
        <v>71</v>
      </c>
      <c r="W9" s="19" t="s">
        <v>55</v>
      </c>
      <c r="X9" s="19" t="s">
        <v>90</v>
      </c>
      <c r="Y9" s="19" t="s">
        <v>73</v>
      </c>
      <c r="Z9" s="19" t="s">
        <v>91</v>
      </c>
      <c r="AA9" s="19">
        <v>2</v>
      </c>
      <c r="AB9" s="19">
        <v>2</v>
      </c>
      <c r="AC9" s="19" t="s">
        <v>58</v>
      </c>
      <c r="AD9" s="19" t="s">
        <v>48</v>
      </c>
      <c r="AE9" s="19" t="s">
        <v>92</v>
      </c>
      <c r="AF9" s="19" t="s">
        <v>93</v>
      </c>
    </row>
    <row r="10" spans="1:34">
      <c r="A10" s="19">
        <v>4</v>
      </c>
      <c r="B10" s="19" t="s">
        <v>82</v>
      </c>
      <c r="C10" s="19" t="s">
        <v>94</v>
      </c>
      <c r="D10" s="19" t="str">
        <f>HYPERLINK("http://henontech.com/fieldsafety/harzard/harzard_show.php?rid=926&amp;url=harzardrecs.php","焦侧道轨拉条高于平台路面，人员行走被拉条拌倒，前倾倒地双手撑扶因自身惯性导至手腕骨折需休养三个月。")</f>
        <v>焦侧道轨拉条高于平台路面，人员行走被拉条拌倒，前倾倒地双手撑扶因自身惯性导至手腕骨折需休养三个月。</v>
      </c>
      <c r="E10" s="19" t="s">
        <v>95</v>
      </c>
      <c r="F10" s="23" t="s">
        <v>96</v>
      </c>
      <c r="G10" s="22" t="s">
        <v>64</v>
      </c>
      <c r="H10" s="19" t="s">
        <v>44</v>
      </c>
      <c r="I10" s="19" t="s">
        <v>97</v>
      </c>
      <c r="J10" s="19" t="s">
        <v>45</v>
      </c>
      <c r="K10" s="19" t="s">
        <v>98</v>
      </c>
      <c r="L10" s="19" t="s">
        <v>99</v>
      </c>
      <c r="M10" s="19" t="s">
        <v>46</v>
      </c>
      <c r="N10" s="19" t="s">
        <v>100</v>
      </c>
      <c r="O10" s="19"/>
      <c r="P10" s="19"/>
      <c r="Q10" s="19"/>
      <c r="R10" s="19" t="s">
        <v>101</v>
      </c>
      <c r="S10" s="19" t="s">
        <v>102</v>
      </c>
      <c r="T10" s="19" t="s">
        <v>52</v>
      </c>
      <c r="U10" s="19" t="s">
        <v>89</v>
      </c>
      <c r="V10" s="19" t="s">
        <v>71</v>
      </c>
      <c r="W10" s="19" t="s">
        <v>55</v>
      </c>
      <c r="X10" s="19"/>
      <c r="Y10" s="19"/>
      <c r="Z10" s="19"/>
      <c r="AA10" s="19">
        <v>0</v>
      </c>
      <c r="AB10" s="19"/>
      <c r="AC10" s="19" t="s">
        <v>103</v>
      </c>
      <c r="AD10" s="19"/>
      <c r="AE10" s="19"/>
      <c r="AF10" s="19"/>
    </row>
    <row r="11" spans="1:34">
      <c r="A11" s="19">
        <v>5</v>
      </c>
      <c r="B11" s="19" t="s">
        <v>82</v>
      </c>
      <c r="C11" s="19" t="s">
        <v>104</v>
      </c>
      <c r="D11" s="19" t="str">
        <f>HYPERLINK("http://henontech.com/fieldsafety/harzard/harzard_show.php?rid=927&amp;url=harzardrecs.php","拦焦岗位塌焦，清理红焦时，操作工易造成灼伤")</f>
        <v>拦焦岗位塌焦，清理红焦时，操作工易造成灼伤</v>
      </c>
      <c r="E11" s="19" t="s">
        <v>105</v>
      </c>
      <c r="F11" s="23" t="s">
        <v>96</v>
      </c>
      <c r="G11" s="22" t="s">
        <v>64</v>
      </c>
      <c r="H11" s="19" t="s">
        <v>44</v>
      </c>
      <c r="I11" s="19" t="s">
        <v>106</v>
      </c>
      <c r="J11" s="19" t="s">
        <v>107</v>
      </c>
      <c r="K11" s="19" t="s">
        <v>108</v>
      </c>
      <c r="L11" s="19"/>
      <c r="M11" s="19" t="s">
        <v>46</v>
      </c>
      <c r="N11" s="19" t="s">
        <v>109</v>
      </c>
      <c r="O11" s="19"/>
      <c r="P11" s="19"/>
      <c r="Q11" s="19"/>
      <c r="R11" s="19" t="s">
        <v>110</v>
      </c>
      <c r="S11" s="19" t="s">
        <v>111</v>
      </c>
      <c r="T11" s="19" t="s">
        <v>52</v>
      </c>
      <c r="U11" s="19" t="s">
        <v>89</v>
      </c>
      <c r="V11" s="19" t="s">
        <v>71</v>
      </c>
      <c r="W11" s="19" t="s">
        <v>55</v>
      </c>
      <c r="X11" s="19"/>
      <c r="Y11" s="19"/>
      <c r="Z11" s="19"/>
      <c r="AA11" s="19">
        <v>0</v>
      </c>
      <c r="AB11" s="19"/>
      <c r="AC11" s="19" t="s">
        <v>103</v>
      </c>
      <c r="AD11" s="19"/>
      <c r="AE11" s="19"/>
      <c r="AF11" s="19"/>
    </row>
    <row r="12" spans="1:34">
      <c r="A12" s="19">
        <v>6</v>
      </c>
      <c r="B12" s="19" t="s">
        <v>82</v>
      </c>
      <c r="C12" s="19" t="s">
        <v>94</v>
      </c>
      <c r="D12" s="19" t="str">
        <f>HYPERLINK("http://henontech.com/fieldsafety/harzard/harzard_show.php?rid=928&amp;url=harzardrecs.php","旧拦焦车与炉门间距不足10公分，如果操作人员违反车间安全管理规定与车辆抢行，拦焦车司机注意力不集中，未看到操作人员没有采取制动，操作人员不慎被车辆挤在炉门之间，人员多处身体部位肢解挤碎，当场死亡。")</f>
        <v>旧拦焦车与炉门间距不足10公分，如果操作人员违反车间安全管理规定与车辆抢行，拦焦车司机注意力不集中，未看到操作人员没有采取制动，操作人员不慎被车辆挤在炉门之间，人员多处身体部位肢解挤碎，当场死亡。</v>
      </c>
      <c r="E12" s="19" t="s">
        <v>112</v>
      </c>
      <c r="F12" s="23" t="s">
        <v>96</v>
      </c>
      <c r="G12" s="22" t="s">
        <v>64</v>
      </c>
      <c r="H12" s="19" t="s">
        <v>44</v>
      </c>
      <c r="I12" s="19" t="s">
        <v>106</v>
      </c>
      <c r="J12" s="19" t="s">
        <v>45</v>
      </c>
      <c r="K12" s="19" t="s">
        <v>108</v>
      </c>
      <c r="L12" s="19"/>
      <c r="M12" s="19" t="s">
        <v>46</v>
      </c>
      <c r="N12" s="19" t="s">
        <v>113</v>
      </c>
      <c r="O12" s="19"/>
      <c r="P12" s="19"/>
      <c r="Q12" s="19"/>
      <c r="R12" s="19" t="s">
        <v>114</v>
      </c>
      <c r="S12" s="19" t="s">
        <v>115</v>
      </c>
      <c r="T12" s="19" t="s">
        <v>52</v>
      </c>
      <c r="U12" s="19" t="s">
        <v>53</v>
      </c>
      <c r="V12" s="19" t="s">
        <v>71</v>
      </c>
      <c r="W12" s="19" t="s">
        <v>116</v>
      </c>
      <c r="X12" s="19"/>
      <c r="Y12" s="19"/>
      <c r="Z12" s="19"/>
      <c r="AA12" s="19">
        <v>0</v>
      </c>
      <c r="AB12" s="19"/>
      <c r="AC12" s="19" t="s">
        <v>103</v>
      </c>
      <c r="AD12" s="19"/>
      <c r="AE12" s="19"/>
      <c r="AF12" s="19"/>
    </row>
    <row r="13" spans="1:34">
      <c r="A13" s="19">
        <v>7</v>
      </c>
      <c r="B13" s="19" t="s">
        <v>82</v>
      </c>
      <c r="C13" s="19" t="s">
        <v>117</v>
      </c>
      <c r="D13" s="19" t="str">
        <f>HYPERLINK("http://henontech.com/fieldsafety/harzard/harzard_show.php?rid=929&amp;url=harzardrecs.php","干熄炉楼梯二层警示牌掉落，起不到提示作用，雨雪天气地面湿滑，造成人员滑倒")</f>
        <v>干熄炉楼梯二层警示牌掉落，起不到提示作用，雨雪天气地面湿滑，造成人员滑倒</v>
      </c>
      <c r="E13" s="19" t="s">
        <v>118</v>
      </c>
      <c r="F13" s="20" t="s">
        <v>42</v>
      </c>
      <c r="G13" s="22" t="s">
        <v>64</v>
      </c>
      <c r="H13" s="19" t="s">
        <v>44</v>
      </c>
      <c r="I13" s="19" t="s">
        <v>119</v>
      </c>
      <c r="J13" s="19" t="s">
        <v>45</v>
      </c>
      <c r="K13" s="19" t="s">
        <v>108</v>
      </c>
      <c r="L13" s="19" t="s">
        <v>99</v>
      </c>
      <c r="M13" s="19" t="s">
        <v>46</v>
      </c>
      <c r="N13" s="19" t="s">
        <v>120</v>
      </c>
      <c r="O13" s="19" t="s">
        <v>46</v>
      </c>
      <c r="P13" s="19" t="s">
        <v>121</v>
      </c>
      <c r="Q13" s="19" t="s">
        <v>122</v>
      </c>
      <c r="R13" s="19" t="s">
        <v>123</v>
      </c>
      <c r="S13" s="19"/>
      <c r="T13" s="19" t="s">
        <v>52</v>
      </c>
      <c r="U13" s="19" t="s">
        <v>79</v>
      </c>
      <c r="V13" s="19" t="s">
        <v>124</v>
      </c>
      <c r="W13" s="19" t="s">
        <v>81</v>
      </c>
      <c r="X13" s="19" t="s">
        <v>90</v>
      </c>
      <c r="Y13" s="19" t="s">
        <v>90</v>
      </c>
      <c r="Z13" s="19" t="s">
        <v>125</v>
      </c>
      <c r="AA13" s="19">
        <v>1</v>
      </c>
      <c r="AB13" s="19">
        <v>1</v>
      </c>
      <c r="AC13" s="19" t="s">
        <v>58</v>
      </c>
      <c r="AD13" s="19" t="s">
        <v>121</v>
      </c>
      <c r="AE13" s="19" t="s">
        <v>92</v>
      </c>
      <c r="AF13" s="19"/>
    </row>
    <row r="14" spans="1:34">
      <c r="A14" s="19">
        <v>8</v>
      </c>
      <c r="B14" s="19" t="s">
        <v>82</v>
      </c>
      <c r="C14" s="19" t="s">
        <v>126</v>
      </c>
      <c r="D14" s="19" t="str">
        <f>HYPERLINK("http://henontech.com/fieldsafety/harzard/harzard_show.php?rid=930&amp;url=harzardrecs.php","1#提升机顶部拖链层北侧上下楼梯旁照明灯损坏，人员巡检时因照明不良，从提升机框架北侧40米高处失足坠落，抢救无效当场死亡。")</f>
        <v>1#提升机顶部拖链层北侧上下楼梯旁照明灯损坏，人员巡检时因照明不良，从提升机框架北侧40米高处失足坠落，抢救无效当场死亡。</v>
      </c>
      <c r="E14" s="19" t="s">
        <v>127</v>
      </c>
      <c r="F14" s="20" t="s">
        <v>42</v>
      </c>
      <c r="G14" s="22" t="s">
        <v>64</v>
      </c>
      <c r="H14" s="19" t="s">
        <v>44</v>
      </c>
      <c r="I14" s="19" t="s">
        <v>97</v>
      </c>
      <c r="J14" s="19" t="s">
        <v>45</v>
      </c>
      <c r="K14" s="19" t="s">
        <v>108</v>
      </c>
      <c r="L14" s="19" t="s">
        <v>99</v>
      </c>
      <c r="M14" s="19" t="s">
        <v>46</v>
      </c>
      <c r="N14" s="19" t="s">
        <v>128</v>
      </c>
      <c r="O14" s="19" t="s">
        <v>46</v>
      </c>
      <c r="P14" s="19" t="s">
        <v>66</v>
      </c>
      <c r="Q14" s="19" t="s">
        <v>49</v>
      </c>
      <c r="R14" s="19" t="s">
        <v>129</v>
      </c>
      <c r="S14" s="19" t="s">
        <v>130</v>
      </c>
      <c r="T14" s="19" t="s">
        <v>52</v>
      </c>
      <c r="U14" s="19" t="s">
        <v>53</v>
      </c>
      <c r="V14" s="19" t="s">
        <v>54</v>
      </c>
      <c r="W14" s="19" t="s">
        <v>55</v>
      </c>
      <c r="X14" s="19" t="s">
        <v>56</v>
      </c>
      <c r="Y14" s="19" t="s">
        <v>56</v>
      </c>
      <c r="Z14" s="19" t="s">
        <v>131</v>
      </c>
      <c r="AA14" s="19">
        <v>1</v>
      </c>
      <c r="AB14" s="19">
        <v>1</v>
      </c>
      <c r="AC14" s="19" t="s">
        <v>58</v>
      </c>
      <c r="AD14" s="19" t="s">
        <v>66</v>
      </c>
      <c r="AE14" s="19" t="s">
        <v>132</v>
      </c>
      <c r="AF14" s="19"/>
    </row>
    <row r="15" spans="1:34" customHeight="1" ht="42">
      <c r="A15" s="19">
        <v>9</v>
      </c>
      <c r="B15" s="19" t="s">
        <v>82</v>
      </c>
      <c r="C15" s="19" t="s">
        <v>94</v>
      </c>
      <c r="D15" s="19" t="str">
        <f>HYPERLINK("http://henontech.com/fieldsafety/harzard/harzard_show.php?rid=931&amp;url=harzardrecs.php","平台连接铁板腐烂 ，如果人员经过踩到此处，铁板塌陷不慎摔倒，送医检查腿部损伤，经抹药处理，在家休养两天。")</f>
        <v>平台连接铁板腐烂 ，如果人员经过踩到此处，铁板塌陷不慎摔倒，送医检查腿部损伤，经抹药处理，在家休养两天。</v>
      </c>
      <c r="E15" s="19" t="s">
        <v>133</v>
      </c>
      <c r="F15" s="20" t="s">
        <v>42</v>
      </c>
      <c r="G15" s="21" t="s">
        <v>43</v>
      </c>
      <c r="H15" s="19" t="s">
        <v>44</v>
      </c>
      <c r="I15" s="19"/>
      <c r="J15" s="19" t="s">
        <v>45</v>
      </c>
      <c r="K15" s="19"/>
      <c r="L15" s="19"/>
      <c r="M15" s="19" t="s">
        <v>46</v>
      </c>
      <c r="N15" s="19" t="s">
        <v>134</v>
      </c>
      <c r="O15" s="19" t="s">
        <v>46</v>
      </c>
      <c r="P15" s="19" t="s">
        <v>48</v>
      </c>
      <c r="Q15" s="19" t="s">
        <v>135</v>
      </c>
      <c r="R15" s="19" t="s">
        <v>136</v>
      </c>
      <c r="S15" s="19"/>
      <c r="T15" s="19" t="s">
        <v>52</v>
      </c>
      <c r="U15" s="19" t="s">
        <v>70</v>
      </c>
      <c r="V15" s="19" t="s">
        <v>71</v>
      </c>
      <c r="W15" s="19" t="s">
        <v>72</v>
      </c>
      <c r="X15" s="19"/>
      <c r="Y15" s="19"/>
      <c r="Z15" s="19" t="s">
        <v>137</v>
      </c>
      <c r="AA15" s="19">
        <v>2</v>
      </c>
      <c r="AB15" s="19">
        <v>2</v>
      </c>
      <c r="AC15" s="19" t="s">
        <v>58</v>
      </c>
      <c r="AD15" s="19" t="s">
        <v>48</v>
      </c>
      <c r="AE15" s="19" t="s">
        <v>92</v>
      </c>
      <c r="AF15" s="19" t="s">
        <v>138</v>
      </c>
    </row>
    <row r="16" spans="1:34" customHeight="1" ht="42">
      <c r="A16" s="19">
        <v>10</v>
      </c>
      <c r="B16" s="19" t="s">
        <v>139</v>
      </c>
      <c r="C16" s="19" t="s">
        <v>140</v>
      </c>
      <c r="D16" s="19" t="str">
        <f>HYPERLINK("http://henontech.com/fieldsafety/harzard/harzard_show.php?rid=932&amp;url=harzardrecs.php","施工人员违反劳动保护用品使用规定，安全带未按高挂低用标准，若脚底滑落后仰跌落至减速机大轴处，导致腰椎粉碎性骨折")</f>
        <v>施工人员违反劳动保护用品使用规定，安全带未按高挂低用标准，若脚底滑落后仰跌落至减速机大轴处，导致腰椎粉碎性骨折</v>
      </c>
      <c r="E16" s="19" t="s">
        <v>141</v>
      </c>
      <c r="F16" s="20" t="s">
        <v>42</v>
      </c>
      <c r="G16" s="22" t="s">
        <v>64</v>
      </c>
      <c r="H16" s="19" t="s">
        <v>44</v>
      </c>
      <c r="I16" s="19" t="s">
        <v>106</v>
      </c>
      <c r="J16" s="19" t="s">
        <v>45</v>
      </c>
      <c r="K16" s="19" t="s">
        <v>108</v>
      </c>
      <c r="L16" s="19" t="s">
        <v>142</v>
      </c>
      <c r="M16" s="19" t="s">
        <v>46</v>
      </c>
      <c r="N16" s="19" t="s">
        <v>143</v>
      </c>
      <c r="O16" s="19" t="s">
        <v>46</v>
      </c>
      <c r="P16" s="19" t="s">
        <v>144</v>
      </c>
      <c r="Q16" s="19" t="s">
        <v>145</v>
      </c>
      <c r="R16" s="19" t="s">
        <v>146</v>
      </c>
      <c r="S16" s="19" t="s">
        <v>147</v>
      </c>
      <c r="T16" s="19" t="s">
        <v>52</v>
      </c>
      <c r="U16" s="19" t="s">
        <v>89</v>
      </c>
      <c r="V16" s="19" t="s">
        <v>71</v>
      </c>
      <c r="W16" s="19" t="s">
        <v>55</v>
      </c>
      <c r="X16" s="19" t="s">
        <v>148</v>
      </c>
      <c r="Y16" s="19"/>
      <c r="Z16" s="19" t="s">
        <v>149</v>
      </c>
      <c r="AA16" s="19">
        <v>2</v>
      </c>
      <c r="AB16" s="19">
        <v>2</v>
      </c>
      <c r="AC16" s="19" t="s">
        <v>58</v>
      </c>
      <c r="AD16" s="19" t="s">
        <v>144</v>
      </c>
      <c r="AE16" s="19" t="s">
        <v>150</v>
      </c>
      <c r="AF16" s="19" t="s">
        <v>151</v>
      </c>
    </row>
    <row r="17" spans="1:34">
      <c r="A17" s="19">
        <v>11</v>
      </c>
      <c r="B17" s="19" t="s">
        <v>139</v>
      </c>
      <c r="C17" s="19" t="s">
        <v>152</v>
      </c>
      <c r="D17" s="19" t="str">
        <f>HYPERLINK("http://henontech.com/fieldsafety/harzard/harzard_show.php?rid=933&amp;url=harzardrecs.php","巡检人员给提升机道轨撒沙子时防滑时铁锹不慎滑落从40高空掉落砸中行人，造成人员死亡")</f>
        <v>巡检人员给提升机道轨撒沙子时防滑时铁锹不慎滑落从40高空掉落砸中行人，造成人员死亡</v>
      </c>
      <c r="E17" s="19" t="s">
        <v>153</v>
      </c>
      <c r="F17" s="20" t="s">
        <v>42</v>
      </c>
      <c r="G17" s="22" t="s">
        <v>64</v>
      </c>
      <c r="H17" s="19" t="s">
        <v>44</v>
      </c>
      <c r="I17" s="19" t="s">
        <v>106</v>
      </c>
      <c r="J17" s="19" t="s">
        <v>45</v>
      </c>
      <c r="K17" s="19"/>
      <c r="L17" s="19"/>
      <c r="M17" s="19" t="s">
        <v>46</v>
      </c>
      <c r="N17" s="19" t="s">
        <v>154</v>
      </c>
      <c r="O17" s="19" t="s">
        <v>46</v>
      </c>
      <c r="P17" s="19" t="s">
        <v>121</v>
      </c>
      <c r="Q17" s="19" t="s">
        <v>155</v>
      </c>
      <c r="R17" s="19" t="s">
        <v>156</v>
      </c>
      <c r="S17" s="19" t="s">
        <v>157</v>
      </c>
      <c r="T17" s="19" t="s">
        <v>52</v>
      </c>
      <c r="U17" s="19" t="s">
        <v>53</v>
      </c>
      <c r="V17" s="19" t="s">
        <v>54</v>
      </c>
      <c r="W17" s="19" t="s">
        <v>55</v>
      </c>
      <c r="X17" s="19" t="s">
        <v>158</v>
      </c>
      <c r="Y17" s="19" t="s">
        <v>158</v>
      </c>
      <c r="Z17" s="19" t="s">
        <v>159</v>
      </c>
      <c r="AA17" s="19">
        <v>1</v>
      </c>
      <c r="AB17" s="19">
        <v>1</v>
      </c>
      <c r="AC17" s="19" t="s">
        <v>58</v>
      </c>
      <c r="AD17" s="19" t="s">
        <v>121</v>
      </c>
      <c r="AE17" s="19" t="s">
        <v>92</v>
      </c>
      <c r="AF17" s="19"/>
    </row>
    <row r="18" spans="1:34">
      <c r="A18" s="19">
        <v>12</v>
      </c>
      <c r="B18" s="19" t="s">
        <v>139</v>
      </c>
      <c r="C18" s="19" t="s">
        <v>152</v>
      </c>
      <c r="D18" s="19" t="str">
        <f>HYPERLINK("http://henontech.com/fieldsafety/harzard/harzard_show.php?rid=934&amp;url=harzardrecs.php","干熄焦余热锅炉底部污水井盖未盖到位，假如人员经过，踩翻井盖，腿部掉入0.5米深污水井内，导致腿部骨折，住院治疗损工事故。")</f>
        <v>干熄焦余热锅炉底部污水井盖未盖到位，假如人员经过，踩翻井盖，腿部掉入0.5米深污水井内，导致腿部骨折，住院治疗损工事故。</v>
      </c>
      <c r="E18" s="19" t="s">
        <v>160</v>
      </c>
      <c r="F18" s="20" t="s">
        <v>42</v>
      </c>
      <c r="G18" s="22" t="s">
        <v>64</v>
      </c>
      <c r="H18" s="19" t="s">
        <v>44</v>
      </c>
      <c r="I18" s="19"/>
      <c r="J18" s="19" t="s">
        <v>45</v>
      </c>
      <c r="K18" s="19"/>
      <c r="L18" s="19"/>
      <c r="M18" s="19" t="s">
        <v>46</v>
      </c>
      <c r="N18" s="19" t="s">
        <v>161</v>
      </c>
      <c r="O18" s="19" t="s">
        <v>46</v>
      </c>
      <c r="P18" s="19" t="s">
        <v>162</v>
      </c>
      <c r="Q18" s="19" t="s">
        <v>163</v>
      </c>
      <c r="R18" s="19" t="s">
        <v>164</v>
      </c>
      <c r="S18" s="19" t="s">
        <v>165</v>
      </c>
      <c r="T18" s="19" t="s">
        <v>52</v>
      </c>
      <c r="U18" s="19" t="s">
        <v>89</v>
      </c>
      <c r="V18" s="19" t="s">
        <v>54</v>
      </c>
      <c r="W18" s="19" t="s">
        <v>72</v>
      </c>
      <c r="X18" s="19" t="s">
        <v>73</v>
      </c>
      <c r="Y18" s="19" t="s">
        <v>73</v>
      </c>
      <c r="Z18" s="19" t="s">
        <v>166</v>
      </c>
      <c r="AA18" s="19">
        <v>1</v>
      </c>
      <c r="AB18" s="19">
        <v>1</v>
      </c>
      <c r="AC18" s="19" t="s">
        <v>58</v>
      </c>
      <c r="AD18" s="19" t="s">
        <v>162</v>
      </c>
      <c r="AE18" s="19" t="s">
        <v>167</v>
      </c>
      <c r="AF18" s="19" t="s">
        <v>168</v>
      </c>
    </row>
    <row r="19" spans="1:34" customHeight="1" ht="42">
      <c r="A19" s="19">
        <v>13</v>
      </c>
      <c r="B19" s="19" t="s">
        <v>139</v>
      </c>
      <c r="C19" s="19" t="s">
        <v>94</v>
      </c>
      <c r="D19" s="19" t="str">
        <f>HYPERLINK("http://henontech.com/fieldsafety/harzard/harzard_show.php?rid=935&amp;url=harzardrecs.php","焦炉地下室积水坑盖板未盖严，如果一名操作工进行抽水作业，未注意脚下，不慎掉入积水坑，造成左手臂骨折，损工6个月")</f>
        <v>焦炉地下室积水坑盖板未盖严，如果一名操作工进行抽水作业，未注意脚下，不慎掉入积水坑，造成左手臂骨折，损工6个月</v>
      </c>
      <c r="E19" s="19" t="s">
        <v>169</v>
      </c>
      <c r="F19" s="20" t="s">
        <v>42</v>
      </c>
      <c r="G19" s="22" t="s">
        <v>64</v>
      </c>
      <c r="H19" s="19" t="s">
        <v>44</v>
      </c>
      <c r="I19" s="19" t="s">
        <v>97</v>
      </c>
      <c r="J19" s="19" t="s">
        <v>45</v>
      </c>
      <c r="K19" s="19" t="s">
        <v>170</v>
      </c>
      <c r="L19" s="19"/>
      <c r="M19" s="19" t="s">
        <v>46</v>
      </c>
      <c r="N19" s="19" t="s">
        <v>171</v>
      </c>
      <c r="O19" s="19" t="s">
        <v>46</v>
      </c>
      <c r="P19" s="19" t="s">
        <v>48</v>
      </c>
      <c r="Q19" s="19" t="s">
        <v>135</v>
      </c>
      <c r="R19" s="19" t="s">
        <v>172</v>
      </c>
      <c r="S19" s="19"/>
      <c r="T19" s="19" t="s">
        <v>52</v>
      </c>
      <c r="U19" s="19" t="s">
        <v>89</v>
      </c>
      <c r="V19" s="19" t="s">
        <v>80</v>
      </c>
      <c r="W19" s="19" t="s">
        <v>116</v>
      </c>
      <c r="X19" s="19"/>
      <c r="Y19" s="19"/>
      <c r="Z19" s="19" t="s">
        <v>173</v>
      </c>
      <c r="AA19" s="19">
        <v>2</v>
      </c>
      <c r="AB19" s="19">
        <v>2</v>
      </c>
      <c r="AC19" s="19" t="s">
        <v>58</v>
      </c>
      <c r="AD19" s="19" t="s">
        <v>48</v>
      </c>
      <c r="AE19" s="19" t="s">
        <v>92</v>
      </c>
      <c r="AF19" s="19"/>
    </row>
    <row r="20" spans="1:34">
      <c r="A20" s="19">
        <v>14</v>
      </c>
      <c r="B20" s="19" t="s">
        <v>139</v>
      </c>
      <c r="C20" s="19" t="s">
        <v>94</v>
      </c>
      <c r="D20" s="19" t="str">
        <f>HYPERLINK("http://henontech.com/fieldsafety/harzard/harzard_show.php?rid=938&amp;url=harzardrecs.php","由于车辆走动混凝土不定时脱落")</f>
        <v>由于车辆走动混凝土不定时脱落</v>
      </c>
      <c r="E20" s="19" t="s">
        <v>174</v>
      </c>
      <c r="F20" s="23" t="s">
        <v>96</v>
      </c>
      <c r="G20" s="22" t="s">
        <v>64</v>
      </c>
      <c r="H20" s="19" t="s">
        <v>44</v>
      </c>
      <c r="I20" s="19" t="s">
        <v>119</v>
      </c>
      <c r="J20" s="19" t="s">
        <v>175</v>
      </c>
      <c r="K20" s="19" t="s">
        <v>176</v>
      </c>
      <c r="L20" s="19" t="s">
        <v>177</v>
      </c>
      <c r="M20" s="19" t="s">
        <v>46</v>
      </c>
      <c r="N20" s="19" t="s">
        <v>178</v>
      </c>
      <c r="O20" s="19"/>
      <c r="P20" s="19"/>
      <c r="Q20" s="19"/>
      <c r="R20" s="19" t="s">
        <v>179</v>
      </c>
      <c r="S20" s="19" t="s">
        <v>180</v>
      </c>
      <c r="T20" s="19" t="s">
        <v>52</v>
      </c>
      <c r="U20" s="19" t="s">
        <v>53</v>
      </c>
      <c r="V20" s="19" t="s">
        <v>71</v>
      </c>
      <c r="W20" s="19" t="s">
        <v>116</v>
      </c>
      <c r="X20" s="19"/>
      <c r="Y20" s="19"/>
      <c r="Z20" s="19"/>
      <c r="AA20" s="19">
        <v>0</v>
      </c>
      <c r="AB20" s="19"/>
      <c r="AC20" s="19" t="s">
        <v>103</v>
      </c>
      <c r="AD20" s="19"/>
      <c r="AE20" s="19"/>
      <c r="AF20" s="19"/>
    </row>
    <row r="21" spans="1:34">
      <c r="A21" s="19"/>
      <c r="B21" s="19"/>
      <c r="C21" s="19"/>
      <c r="D21" s="19" t="str">
        <f>HYPERLINK("http://henontech.com/fieldsafety/harzard/harzard_show.php?rid=938&amp;url=harzardrecs.php","混凝土不定时脱落，脱落程度不可估计可大可小")</f>
        <v>混凝土不定时脱落，脱落程度不可估计可大可小</v>
      </c>
      <c r="E21" s="19" t="s">
        <v>181</v>
      </c>
      <c r="F21" s="19"/>
      <c r="G21" s="19"/>
      <c r="H21" s="19"/>
      <c r="I21" s="19" t="s">
        <v>119</v>
      </c>
      <c r="J21" s="19" t="s">
        <v>182</v>
      </c>
      <c r="K21" s="19" t="s">
        <v>176</v>
      </c>
      <c r="L21" s="19" t="s">
        <v>177</v>
      </c>
      <c r="M21" s="19"/>
      <c r="N21" s="19"/>
      <c r="O21" s="19"/>
      <c r="P21" s="19"/>
      <c r="Q21" s="19"/>
      <c r="R21" s="19"/>
      <c r="S21" s="19"/>
      <c r="T21" s="19" t="s">
        <v>52</v>
      </c>
      <c r="U21" s="19" t="s">
        <v>70</v>
      </c>
      <c r="V21" s="19" t="s">
        <v>54</v>
      </c>
      <c r="W21" s="19" t="s">
        <v>81</v>
      </c>
      <c r="X21" s="19"/>
      <c r="Y21" s="19"/>
      <c r="Z21" s="19"/>
      <c r="AA21" s="19"/>
      <c r="AB21" s="19"/>
      <c r="AC21" s="19"/>
      <c r="AD21" s="19"/>
      <c r="AE21" s="19"/>
      <c r="AF21" s="19"/>
    </row>
    <row r="22" spans="1:34" customHeight="1" ht="42">
      <c r="A22" s="19">
        <v>15</v>
      </c>
      <c r="B22" s="19" t="s">
        <v>139</v>
      </c>
      <c r="C22" s="19" t="s">
        <v>183</v>
      </c>
      <c r="D22" s="19" t="str">
        <f>HYPERLINK("http://henontech.com/fieldsafety/harzard/harzard_show.php?rid=941&amp;url=harzardrecs.php","操作工违反安全规定，翻越车辆护栏至余煤刮板机清理刮板机内挤住的余煤，未系安全带，如果车辆司机未提醒就开动车辆，人员未站稳从3.5米高的刮板机坠落至地面，头部着地，当场昏迷，经医院抢救无效死亡。")</f>
        <v>操作工违反安全规定，翻越车辆护栏至余煤刮板机清理刮板机内挤住的余煤，未系安全带，如果车辆司机未提醒就开动车辆，人员未站稳从3.5米高的刮板机坠落至地面，头部着地，当场昏迷，经医院抢救无效死亡。</v>
      </c>
      <c r="E22" s="19" t="s">
        <v>184</v>
      </c>
      <c r="F22" s="20" t="s">
        <v>42</v>
      </c>
      <c r="G22" s="21" t="s">
        <v>43</v>
      </c>
      <c r="H22" s="19" t="s">
        <v>44</v>
      </c>
      <c r="I22" s="19" t="s">
        <v>106</v>
      </c>
      <c r="J22" s="19" t="s">
        <v>45</v>
      </c>
      <c r="K22" s="19" t="s">
        <v>98</v>
      </c>
      <c r="L22" s="19" t="s">
        <v>99</v>
      </c>
      <c r="M22" s="19" t="s">
        <v>46</v>
      </c>
      <c r="N22" s="19" t="s">
        <v>185</v>
      </c>
      <c r="O22" s="19" t="s">
        <v>46</v>
      </c>
      <c r="P22" s="19" t="s">
        <v>48</v>
      </c>
      <c r="Q22" s="19" t="s">
        <v>145</v>
      </c>
      <c r="R22" s="19" t="s">
        <v>186</v>
      </c>
      <c r="S22" s="19" t="s">
        <v>187</v>
      </c>
      <c r="T22" s="19" t="s">
        <v>52</v>
      </c>
      <c r="U22" s="19" t="s">
        <v>53</v>
      </c>
      <c r="V22" s="19" t="s">
        <v>80</v>
      </c>
      <c r="W22" s="19" t="s">
        <v>116</v>
      </c>
      <c r="X22" s="19" t="s">
        <v>188</v>
      </c>
      <c r="Y22" s="19"/>
      <c r="Z22" s="19" t="s">
        <v>189</v>
      </c>
      <c r="AA22" s="19">
        <v>2</v>
      </c>
      <c r="AB22" s="19">
        <v>2</v>
      </c>
      <c r="AC22" s="19" t="s">
        <v>58</v>
      </c>
      <c r="AD22" s="19" t="s">
        <v>48</v>
      </c>
      <c r="AE22" s="19" t="s">
        <v>92</v>
      </c>
      <c r="AF22" s="19" t="s">
        <v>190</v>
      </c>
    </row>
    <row r="23" spans="1:34" customHeight="1" ht="42">
      <c r="A23" s="19">
        <v>16</v>
      </c>
      <c r="B23" s="19" t="s">
        <v>139</v>
      </c>
      <c r="C23" s="19" t="s">
        <v>152</v>
      </c>
      <c r="D23" s="19" t="str">
        <f>HYPERLINK("http://henontech.com/fieldsafety/harzard/harzard_show.php?rid=942&amp;url=harzardrecs.php","硫酸加药阀门处管道固定不牢，一操作人员在开阀门加硫酸时，造成管道破裂，由于未佩戴防护措施，造成一人身体严重灼伤。")</f>
        <v>硫酸加药阀门处管道固定不牢，一操作人员在开阀门加硫酸时，造成管道破裂，由于未佩戴防护措施，造成一人身体严重灼伤。</v>
      </c>
      <c r="E23" s="19" t="s">
        <v>191</v>
      </c>
      <c r="F23" s="20" t="s">
        <v>42</v>
      </c>
      <c r="G23" s="21" t="s">
        <v>43</v>
      </c>
      <c r="H23" s="19" t="s">
        <v>44</v>
      </c>
      <c r="I23" s="19" t="s">
        <v>192</v>
      </c>
      <c r="J23" s="19" t="s">
        <v>45</v>
      </c>
      <c r="K23" s="19" t="s">
        <v>176</v>
      </c>
      <c r="L23" s="19" t="s">
        <v>99</v>
      </c>
      <c r="M23" s="19" t="s">
        <v>46</v>
      </c>
      <c r="N23" s="19" t="s">
        <v>193</v>
      </c>
      <c r="O23" s="19" t="s">
        <v>46</v>
      </c>
      <c r="P23" s="19" t="s">
        <v>162</v>
      </c>
      <c r="Q23" s="19" t="s">
        <v>135</v>
      </c>
      <c r="R23" s="19" t="s">
        <v>194</v>
      </c>
      <c r="S23" s="19"/>
      <c r="T23" s="19" t="s">
        <v>52</v>
      </c>
      <c r="U23" s="19" t="s">
        <v>53</v>
      </c>
      <c r="V23" s="19" t="s">
        <v>80</v>
      </c>
      <c r="W23" s="19" t="s">
        <v>116</v>
      </c>
      <c r="X23" s="19"/>
      <c r="Y23" s="19"/>
      <c r="Z23" s="19" t="s">
        <v>195</v>
      </c>
      <c r="AA23" s="19">
        <v>2</v>
      </c>
      <c r="AB23" s="19">
        <v>2</v>
      </c>
      <c r="AC23" s="19" t="s">
        <v>58</v>
      </c>
      <c r="AD23" s="19" t="s">
        <v>162</v>
      </c>
      <c r="AE23" s="19" t="s">
        <v>75</v>
      </c>
      <c r="AF23" s="19" t="s">
        <v>196</v>
      </c>
    </row>
    <row r="24" spans="1:34">
      <c r="A24" s="19">
        <v>17</v>
      </c>
      <c r="B24" s="19" t="s">
        <v>139</v>
      </c>
      <c r="C24" s="19" t="s">
        <v>183</v>
      </c>
      <c r="D24" s="19" t="str">
        <f>HYPERLINK("http://henontech.com/fieldsafety/harzard/harzard_show.php?rid=943&amp;url=harzardrecs.php","焦侧地面除尘箱体防爆板破损，运行中从破损处吸入大量空气，导致除尘吸力变小，造成推焦冒黑烟，被公司内通报。")</f>
        <v>焦侧地面除尘箱体防爆板破损，运行中从破损处吸入大量空气，导致除尘吸力变小，造成推焦冒黑烟，被公司内通报。</v>
      </c>
      <c r="E24" s="19" t="s">
        <v>197</v>
      </c>
      <c r="F24" s="20" t="s">
        <v>42</v>
      </c>
      <c r="G24" s="22" t="s">
        <v>64</v>
      </c>
      <c r="H24" s="19" t="s">
        <v>44</v>
      </c>
      <c r="I24" s="19"/>
      <c r="J24" s="19" t="s">
        <v>45</v>
      </c>
      <c r="K24" s="19" t="s">
        <v>176</v>
      </c>
      <c r="L24" s="19"/>
      <c r="M24" s="19" t="s">
        <v>46</v>
      </c>
      <c r="N24" s="19" t="s">
        <v>198</v>
      </c>
      <c r="O24" s="19" t="s">
        <v>46</v>
      </c>
      <c r="P24" s="19" t="s">
        <v>48</v>
      </c>
      <c r="Q24" s="19" t="s">
        <v>145</v>
      </c>
      <c r="R24" s="19" t="s">
        <v>199</v>
      </c>
      <c r="S24" s="19"/>
      <c r="T24" s="19" t="s">
        <v>200</v>
      </c>
      <c r="U24" s="19" t="s">
        <v>70</v>
      </c>
      <c r="V24" s="19" t="s">
        <v>71</v>
      </c>
      <c r="W24" s="19" t="s">
        <v>72</v>
      </c>
      <c r="X24" s="19" t="s">
        <v>73</v>
      </c>
      <c r="Y24" s="19"/>
      <c r="Z24" s="19" t="s">
        <v>201</v>
      </c>
      <c r="AA24" s="19">
        <v>2</v>
      </c>
      <c r="AB24" s="19">
        <v>2</v>
      </c>
      <c r="AC24" s="19" t="s">
        <v>58</v>
      </c>
      <c r="AD24" s="19" t="s">
        <v>48</v>
      </c>
      <c r="AE24" s="19" t="s">
        <v>92</v>
      </c>
      <c r="AF24" s="19" t="s">
        <v>202</v>
      </c>
    </row>
    <row r="25" spans="1:34">
      <c r="A25" s="19"/>
      <c r="B25" s="19"/>
      <c r="C25" s="19"/>
      <c r="D25" s="19" t="str">
        <f>HYPERLINK("http://henontech.com/fieldsafety/harzard/harzard_show.php?rid=943&amp;url=harzardrecs.php","焦侧地面除尘箱体防爆板破损，卡在护框内，遇大风天气脱落砸伤下方通行人员，肩部损伤。")</f>
        <v>焦侧地面除尘箱体防爆板破损，卡在护框内，遇大风天气脱落砸伤下方通行人员，肩部损伤。</v>
      </c>
      <c r="E25" s="19" t="s">
        <v>203</v>
      </c>
      <c r="F25" s="19"/>
      <c r="G25" s="19"/>
      <c r="H25" s="19"/>
      <c r="I25" s="19"/>
      <c r="J25" s="19" t="s">
        <v>45</v>
      </c>
      <c r="K25" s="19" t="s">
        <v>108</v>
      </c>
      <c r="L25" s="19"/>
      <c r="M25" s="19"/>
      <c r="N25" s="19"/>
      <c r="O25" s="19"/>
      <c r="P25" s="19"/>
      <c r="Q25" s="19"/>
      <c r="R25" s="19"/>
      <c r="S25" s="19"/>
      <c r="T25" s="19" t="s">
        <v>52</v>
      </c>
      <c r="U25" s="19" t="s">
        <v>70</v>
      </c>
      <c r="V25" s="19" t="s">
        <v>71</v>
      </c>
      <c r="W25" s="19" t="s">
        <v>72</v>
      </c>
      <c r="X25" s="19"/>
      <c r="Y25" s="19"/>
      <c r="Z25" s="19"/>
      <c r="AA25" s="19"/>
      <c r="AB25" s="19"/>
      <c r="AC25" s="19"/>
      <c r="AD25" s="19"/>
      <c r="AE25" s="19"/>
      <c r="AF25" s="19"/>
    </row>
    <row r="26" spans="1:34" customHeight="1" ht="42">
      <c r="A26" s="19">
        <v>18</v>
      </c>
      <c r="B26" s="19" t="s">
        <v>139</v>
      </c>
      <c r="C26" s="19" t="s">
        <v>183</v>
      </c>
      <c r="D26" s="19" t="str">
        <f>HYPERLINK("http://henontech.com/fieldsafety/harzard/harzard_show.php?rid=944&amp;url=harzardrecs.php","干熄炉东侧除尘顶部平台底板开焊移位，操作工夜间到除尘更换除尘布袋，没有发现平台底部开焊移位，从高处坠落，造成死亡事故")</f>
        <v>干熄炉东侧除尘顶部平台底板开焊移位，操作工夜间到除尘更换除尘布袋，没有发现平台底部开焊移位，从高处坠落，造成死亡事故</v>
      </c>
      <c r="E26" s="19" t="s">
        <v>204</v>
      </c>
      <c r="F26" s="20" t="s">
        <v>42</v>
      </c>
      <c r="G26" s="21" t="s">
        <v>43</v>
      </c>
      <c r="H26" s="19" t="s">
        <v>44</v>
      </c>
      <c r="I26" s="19"/>
      <c r="J26" s="19" t="s">
        <v>45</v>
      </c>
      <c r="K26" s="19" t="s">
        <v>108</v>
      </c>
      <c r="L26" s="19" t="s">
        <v>99</v>
      </c>
      <c r="M26" s="19" t="s">
        <v>46</v>
      </c>
      <c r="N26" s="19" t="s">
        <v>205</v>
      </c>
      <c r="O26" s="19" t="s">
        <v>46</v>
      </c>
      <c r="P26" s="19" t="s">
        <v>66</v>
      </c>
      <c r="Q26" s="19" t="s">
        <v>145</v>
      </c>
      <c r="R26" s="19" t="s">
        <v>206</v>
      </c>
      <c r="S26" s="19"/>
      <c r="T26" s="19" t="s">
        <v>52</v>
      </c>
      <c r="U26" s="19" t="s">
        <v>53</v>
      </c>
      <c r="V26" s="19" t="s">
        <v>71</v>
      </c>
      <c r="W26" s="19" t="s">
        <v>116</v>
      </c>
      <c r="X26" s="19" t="s">
        <v>73</v>
      </c>
      <c r="Y26" s="19"/>
      <c r="Z26" s="19" t="s">
        <v>207</v>
      </c>
      <c r="AA26" s="19">
        <v>2</v>
      </c>
      <c r="AB26" s="19">
        <v>2</v>
      </c>
      <c r="AC26" s="19" t="s">
        <v>58</v>
      </c>
      <c r="AD26" s="19" t="s">
        <v>66</v>
      </c>
      <c r="AE26" s="19" t="s">
        <v>208</v>
      </c>
      <c r="AF26" s="19"/>
    </row>
    <row r="27" spans="1:34" customHeight="1" ht="42">
      <c r="A27" s="19">
        <v>19</v>
      </c>
      <c r="B27" s="19" t="s">
        <v>139</v>
      </c>
      <c r="C27" s="19" t="s">
        <v>183</v>
      </c>
      <c r="D27" s="19" t="str">
        <f>HYPERLINK("http://henontech.com/fieldsafety/harzard/harzard_show.php?rid=945&amp;url=harzardrecs.php","一名外协人员在施工时未佩戴安全带，不慎跌落在地，造成左小腿骨折，治疗一个月休养五个月")</f>
        <v>一名外协人员在施工时未佩戴安全带，不慎跌落在地，造成左小腿骨折，治疗一个月休养五个月</v>
      </c>
      <c r="E27" s="19" t="s">
        <v>209</v>
      </c>
      <c r="F27" s="20" t="s">
        <v>42</v>
      </c>
      <c r="G27" s="21" t="s">
        <v>43</v>
      </c>
      <c r="H27" s="19" t="s">
        <v>44</v>
      </c>
      <c r="I27" s="19" t="s">
        <v>106</v>
      </c>
      <c r="J27" s="19" t="s">
        <v>45</v>
      </c>
      <c r="K27" s="19" t="s">
        <v>108</v>
      </c>
      <c r="L27" s="19" t="s">
        <v>142</v>
      </c>
      <c r="M27" s="19" t="s">
        <v>46</v>
      </c>
      <c r="N27" s="19" t="s">
        <v>210</v>
      </c>
      <c r="O27" s="19" t="s">
        <v>46</v>
      </c>
      <c r="P27" s="19" t="s">
        <v>144</v>
      </c>
      <c r="Q27" s="19" t="s">
        <v>49</v>
      </c>
      <c r="R27" s="19" t="s">
        <v>211</v>
      </c>
      <c r="S27" s="19" t="s">
        <v>212</v>
      </c>
      <c r="T27" s="19" t="s">
        <v>52</v>
      </c>
      <c r="U27" s="19" t="s">
        <v>89</v>
      </c>
      <c r="V27" s="19" t="s">
        <v>71</v>
      </c>
      <c r="W27" s="19" t="s">
        <v>55</v>
      </c>
      <c r="X27" s="19" t="s">
        <v>148</v>
      </c>
      <c r="Y27" s="19"/>
      <c r="Z27" s="19" t="s">
        <v>213</v>
      </c>
      <c r="AA27" s="19">
        <v>2</v>
      </c>
      <c r="AB27" s="19">
        <v>2</v>
      </c>
      <c r="AC27" s="19" t="s">
        <v>58</v>
      </c>
      <c r="AD27" s="19" t="s">
        <v>144</v>
      </c>
      <c r="AE27" s="19" t="s">
        <v>150</v>
      </c>
      <c r="AF27" s="19" t="s">
        <v>214</v>
      </c>
    </row>
    <row r="28" spans="1:34">
      <c r="A28" s="19">
        <v>20</v>
      </c>
      <c r="B28" s="19" t="s">
        <v>139</v>
      </c>
      <c r="C28" s="19" t="s">
        <v>152</v>
      </c>
      <c r="D28" s="19" t="str">
        <f>HYPERLINK("http://henontech.com/fieldsafety/harzard/harzard_show.php?rid=946&amp;url=harzardrecs.php","环境除尘西侧框架西北角底部交叉支撑梁有突出三角铁，现场无禁止通行警示标志，假如外来施工人员在未佩戴安全帽的情况下，从框架下部快速跑过，头部额头撞击三角铁，头部额头出血，送医治疗轻微脑震荡，休息一周。")</f>
        <v>环境除尘西侧框架西北角底部交叉支撑梁有突出三角铁，现场无禁止通行警示标志，假如外来施工人员在未佩戴安全帽的情况下，从框架下部快速跑过，头部额头撞击三角铁，头部额头出血，送医治疗轻微脑震荡，休息一周。</v>
      </c>
      <c r="E28" s="19" t="s">
        <v>215</v>
      </c>
      <c r="F28" s="20" t="s">
        <v>42</v>
      </c>
      <c r="G28" s="22" t="s">
        <v>64</v>
      </c>
      <c r="H28" s="19" t="s">
        <v>44</v>
      </c>
      <c r="I28" s="19" t="s">
        <v>106</v>
      </c>
      <c r="J28" s="19" t="s">
        <v>45</v>
      </c>
      <c r="K28" s="19" t="s">
        <v>216</v>
      </c>
      <c r="L28" s="19"/>
      <c r="M28" s="19" t="s">
        <v>46</v>
      </c>
      <c r="N28" s="19" t="s">
        <v>121</v>
      </c>
      <c r="O28" s="19" t="s">
        <v>46</v>
      </c>
      <c r="P28" s="19" t="s">
        <v>121</v>
      </c>
      <c r="Q28" s="19" t="s">
        <v>122</v>
      </c>
      <c r="R28" s="19" t="s">
        <v>217</v>
      </c>
      <c r="S28" s="19"/>
      <c r="T28" s="19" t="s">
        <v>52</v>
      </c>
      <c r="U28" s="19" t="s">
        <v>89</v>
      </c>
      <c r="V28" s="19" t="s">
        <v>80</v>
      </c>
      <c r="W28" s="19" t="s">
        <v>116</v>
      </c>
      <c r="X28" s="19" t="s">
        <v>90</v>
      </c>
      <c r="Y28" s="19" t="s">
        <v>56</v>
      </c>
      <c r="Z28" s="19" t="s">
        <v>218</v>
      </c>
      <c r="AA28" s="19">
        <v>1</v>
      </c>
      <c r="AB28" s="19">
        <v>1</v>
      </c>
      <c r="AC28" s="19" t="s">
        <v>58</v>
      </c>
      <c r="AD28" s="19" t="s">
        <v>121</v>
      </c>
      <c r="AE28" s="19" t="s">
        <v>92</v>
      </c>
      <c r="AF28" s="19"/>
    </row>
    <row r="29" spans="1:34" customHeight="1" ht="42">
      <c r="A29" s="19">
        <v>21</v>
      </c>
      <c r="B29" s="19" t="s">
        <v>139</v>
      </c>
      <c r="C29" s="19" t="s">
        <v>183</v>
      </c>
      <c r="D29" s="19" t="str">
        <f>HYPERLINK("http://henontech.com/fieldsafety/harzard/harzard_show.php?rid=947&amp;url=harzardrecs.php","5.5米焦炉炉顶北头平台吊具，未使用情况下挂钩未落至地面，挂钩上部添加额外配重且与吊具钢丝绳摩擦，钢丝绳脱出挂钩滑轮未在挂钩滑轮内，如果脱落砸中下部通行人员头部，人员当场死亡。")</f>
        <v>5.5米焦炉炉顶北头平台吊具，未使用情况下挂钩未落至地面，挂钩上部添加额外配重且与吊具钢丝绳摩擦，钢丝绳脱出挂钩滑轮未在挂钩滑轮内，如果脱落砸中下部通行人员头部，人员当场死亡。</v>
      </c>
      <c r="E29" s="19" t="s">
        <v>153</v>
      </c>
      <c r="F29" s="20" t="s">
        <v>42</v>
      </c>
      <c r="G29" s="22" t="s">
        <v>64</v>
      </c>
      <c r="H29" s="19" t="s">
        <v>44</v>
      </c>
      <c r="I29" s="19"/>
      <c r="J29" s="19" t="s">
        <v>45</v>
      </c>
      <c r="K29" s="19"/>
      <c r="L29" s="19" t="s">
        <v>99</v>
      </c>
      <c r="M29" s="19" t="s">
        <v>46</v>
      </c>
      <c r="N29" s="19" t="s">
        <v>219</v>
      </c>
      <c r="O29" s="19" t="s">
        <v>46</v>
      </c>
      <c r="P29" s="19" t="s">
        <v>66</v>
      </c>
      <c r="Q29" s="19" t="s">
        <v>220</v>
      </c>
      <c r="R29" s="19" t="s">
        <v>221</v>
      </c>
      <c r="S29" s="19" t="s">
        <v>222</v>
      </c>
      <c r="T29" s="19" t="s">
        <v>52</v>
      </c>
      <c r="U29" s="19" t="s">
        <v>53</v>
      </c>
      <c r="V29" s="19" t="s">
        <v>80</v>
      </c>
      <c r="W29" s="19" t="s">
        <v>116</v>
      </c>
      <c r="X29" s="19" t="s">
        <v>73</v>
      </c>
      <c r="Y29" s="19"/>
      <c r="Z29" s="19" t="s">
        <v>223</v>
      </c>
      <c r="AA29" s="19">
        <v>2</v>
      </c>
      <c r="AB29" s="19">
        <v>2</v>
      </c>
      <c r="AC29" s="19" t="s">
        <v>58</v>
      </c>
      <c r="AD29" s="19" t="s">
        <v>66</v>
      </c>
      <c r="AE29" s="19" t="s">
        <v>59</v>
      </c>
      <c r="AF29" s="19"/>
    </row>
    <row r="30" spans="1:34" customHeight="1" ht="42">
      <c r="A30" s="19">
        <v>22</v>
      </c>
      <c r="B30" s="19" t="s">
        <v>139</v>
      </c>
      <c r="C30" s="19" t="s">
        <v>183</v>
      </c>
      <c r="D30" s="19" t="str">
        <f>HYPERLINK("http://henontech.com/fieldsafety/harzard/harzard_show.php?rid=948&amp;url=harzardrecs.php","换向工在踩着盖板调节煤气旋塞时，由于盖板不牢固，导致连人带盖板掉入水沟内，送医检查结果：右下肢多处擦伤与软组织损伤，需卧床休息十天。")</f>
        <v>换向工在踩着盖板调节煤气旋塞时，由于盖板不牢固，导致连人带盖板掉入水沟内，送医检查结果：右下肢多处擦伤与软组织损伤，需卧床休息十天。</v>
      </c>
      <c r="E30" s="19" t="s">
        <v>224</v>
      </c>
      <c r="F30" s="20" t="s">
        <v>42</v>
      </c>
      <c r="G30" s="21" t="s">
        <v>43</v>
      </c>
      <c r="H30" s="19" t="s">
        <v>44</v>
      </c>
      <c r="I30" s="19" t="s">
        <v>119</v>
      </c>
      <c r="J30" s="19" t="s">
        <v>45</v>
      </c>
      <c r="K30" s="19" t="s">
        <v>216</v>
      </c>
      <c r="L30" s="19" t="s">
        <v>142</v>
      </c>
      <c r="M30" s="19" t="s">
        <v>46</v>
      </c>
      <c r="N30" s="19" t="s">
        <v>225</v>
      </c>
      <c r="O30" s="19" t="s">
        <v>46</v>
      </c>
      <c r="P30" s="19" t="s">
        <v>66</v>
      </c>
      <c r="Q30" s="19" t="s">
        <v>49</v>
      </c>
      <c r="R30" s="19" t="s">
        <v>172</v>
      </c>
      <c r="S30" s="19" t="s">
        <v>226</v>
      </c>
      <c r="T30" s="19" t="s">
        <v>52</v>
      </c>
      <c r="U30" s="19" t="s">
        <v>89</v>
      </c>
      <c r="V30" s="19" t="s">
        <v>71</v>
      </c>
      <c r="W30" s="19" t="s">
        <v>55</v>
      </c>
      <c r="X30" s="19" t="s">
        <v>73</v>
      </c>
      <c r="Y30" s="19"/>
      <c r="Z30" s="19" t="s">
        <v>227</v>
      </c>
      <c r="AA30" s="19">
        <v>2</v>
      </c>
      <c r="AB30" s="19">
        <v>2</v>
      </c>
      <c r="AC30" s="19" t="s">
        <v>58</v>
      </c>
      <c r="AD30" s="19" t="s">
        <v>66</v>
      </c>
      <c r="AE30" s="19" t="s">
        <v>59</v>
      </c>
      <c r="AF30" s="19"/>
    </row>
    <row r="31" spans="1:34" customHeight="1" ht="42">
      <c r="A31" s="19">
        <v>23</v>
      </c>
      <c r="B31" s="19" t="s">
        <v>228</v>
      </c>
      <c r="C31" s="19" t="s">
        <v>229</v>
      </c>
      <c r="D31" s="19" t="str">
        <f>HYPERLINK("http://henontech.com/fieldsafety/harzard/harzard_show.php?rid=949&amp;url=harzardrecs.php","一名操作工在进行夜间照明灯开启时，由于配电箱盖缺失，手掌触碰到裸漏的220V电源，因常年未排查检修漏电保护器失效，造成人员右手掌电灼伤。住院治疗10天修养1个月。")</f>
        <v>一名操作工在进行夜间照明灯开启时，由于配电箱盖缺失，手掌触碰到裸漏的220V电源，因常年未排查检修漏电保护器失效，造成人员右手掌电灼伤。住院治疗10天修养1个月。</v>
      </c>
      <c r="E31" s="19" t="s">
        <v>230</v>
      </c>
      <c r="F31" s="20" t="s">
        <v>42</v>
      </c>
      <c r="G31" s="22" t="s">
        <v>64</v>
      </c>
      <c r="H31" s="19" t="s">
        <v>44</v>
      </c>
      <c r="I31" s="19" t="s">
        <v>119</v>
      </c>
      <c r="J31" s="19" t="s">
        <v>231</v>
      </c>
      <c r="K31" s="19"/>
      <c r="L31" s="19" t="s">
        <v>99</v>
      </c>
      <c r="M31" s="19" t="s">
        <v>232</v>
      </c>
      <c r="N31" s="19" t="s">
        <v>233</v>
      </c>
      <c r="O31" s="19" t="s">
        <v>232</v>
      </c>
      <c r="P31" s="19" t="s">
        <v>234</v>
      </c>
      <c r="Q31" s="19" t="s">
        <v>49</v>
      </c>
      <c r="R31" s="19" t="s">
        <v>235</v>
      </c>
      <c r="S31" s="19" t="s">
        <v>236</v>
      </c>
      <c r="T31" s="19" t="s">
        <v>52</v>
      </c>
      <c r="U31" s="19" t="s">
        <v>89</v>
      </c>
      <c r="V31" s="19" t="s">
        <v>71</v>
      </c>
      <c r="W31" s="19" t="s">
        <v>55</v>
      </c>
      <c r="X31" s="19" t="s">
        <v>73</v>
      </c>
      <c r="Y31" s="19" t="s">
        <v>73</v>
      </c>
      <c r="Z31" s="19" t="s">
        <v>237</v>
      </c>
      <c r="AA31" s="19">
        <v>2</v>
      </c>
      <c r="AB31" s="19">
        <v>1</v>
      </c>
      <c r="AC31" s="19" t="s">
        <v>58</v>
      </c>
      <c r="AD31" s="19" t="s">
        <v>234</v>
      </c>
      <c r="AE31" s="19" t="s">
        <v>150</v>
      </c>
      <c r="AF31" s="19" t="s">
        <v>238</v>
      </c>
    </row>
    <row r="32" spans="1:34">
      <c r="A32" s="19">
        <v>24</v>
      </c>
      <c r="B32" s="19" t="s">
        <v>228</v>
      </c>
      <c r="C32" s="19" t="s">
        <v>239</v>
      </c>
      <c r="D32" s="19" t="str">
        <f>HYPERLINK("http://henontech.com/fieldsafety/harzard/harzard_show.php?rid=951&amp;url=harzardrecs.php","碳化岗位电缆盒破损，且没有固定夹，在大风天气，被吹落，划伤巡检到此处的操作工")</f>
        <v>碳化岗位电缆盒破损，且没有固定夹，在大风天气，被吹落，划伤巡检到此处的操作工</v>
      </c>
      <c r="E32" s="19" t="s">
        <v>240</v>
      </c>
      <c r="F32" s="20" t="s">
        <v>42</v>
      </c>
      <c r="G32" s="21" t="s">
        <v>43</v>
      </c>
      <c r="H32" s="19" t="s">
        <v>44</v>
      </c>
      <c r="I32" s="19" t="s">
        <v>119</v>
      </c>
      <c r="J32" s="19" t="s">
        <v>45</v>
      </c>
      <c r="K32" s="19" t="s">
        <v>98</v>
      </c>
      <c r="L32" s="19" t="s">
        <v>99</v>
      </c>
      <c r="M32" s="19" t="s">
        <v>241</v>
      </c>
      <c r="N32" s="19" t="s">
        <v>242</v>
      </c>
      <c r="O32" s="19" t="s">
        <v>241</v>
      </c>
      <c r="P32" s="19" t="s">
        <v>243</v>
      </c>
      <c r="Q32" s="19" t="s">
        <v>244</v>
      </c>
      <c r="R32" s="19" t="s">
        <v>245</v>
      </c>
      <c r="S32" s="19"/>
      <c r="T32" s="19" t="s">
        <v>52</v>
      </c>
      <c r="U32" s="19" t="s">
        <v>89</v>
      </c>
      <c r="V32" s="19" t="s">
        <v>54</v>
      </c>
      <c r="W32" s="19" t="s">
        <v>72</v>
      </c>
      <c r="X32" s="19" t="s">
        <v>246</v>
      </c>
      <c r="Y32" s="19" t="s">
        <v>246</v>
      </c>
      <c r="Z32" s="19" t="s">
        <v>247</v>
      </c>
      <c r="AA32" s="19">
        <v>1</v>
      </c>
      <c r="AB32" s="19">
        <v>1</v>
      </c>
      <c r="AC32" s="19" t="s">
        <v>58</v>
      </c>
      <c r="AD32" s="19" t="s">
        <v>243</v>
      </c>
      <c r="AE32" s="19" t="s">
        <v>86</v>
      </c>
      <c r="AF32" s="19" t="s">
        <v>248</v>
      </c>
    </row>
    <row r="33" spans="1:34">
      <c r="A33" s="19">
        <v>25</v>
      </c>
      <c r="B33" s="19" t="s">
        <v>228</v>
      </c>
      <c r="C33" s="19" t="s">
        <v>249</v>
      </c>
      <c r="D33" s="19" t="str">
        <f>HYPERLINK("http://henontech.com/fieldsafety/harzard/harzard_show.php?rid=952&amp;url=harzardrecs.php","1名电焊工在脚手架上进行焊接作业，未佩戴安全带，不慎从脚手架上摔下来造成胳膊骨折住院治疗15天回家休养半年。")</f>
        <v>1名电焊工在脚手架上进行焊接作业，未佩戴安全带，不慎从脚手架上摔下来造成胳膊骨折住院治疗15天回家休养半年。</v>
      </c>
      <c r="E33" s="19" t="s">
        <v>250</v>
      </c>
      <c r="F33" s="20" t="s">
        <v>42</v>
      </c>
      <c r="G33" s="24" t="s">
        <v>251</v>
      </c>
      <c r="H33" s="19" t="s">
        <v>44</v>
      </c>
      <c r="I33" s="19" t="s">
        <v>106</v>
      </c>
      <c r="J33" s="19" t="s">
        <v>45</v>
      </c>
      <c r="K33" s="19" t="s">
        <v>216</v>
      </c>
      <c r="L33" s="19" t="s">
        <v>252</v>
      </c>
      <c r="M33" s="19" t="s">
        <v>241</v>
      </c>
      <c r="N33" s="19" t="s">
        <v>253</v>
      </c>
      <c r="O33" s="19" t="s">
        <v>241</v>
      </c>
      <c r="P33" s="19" t="s">
        <v>254</v>
      </c>
      <c r="Q33" s="19" t="s">
        <v>255</v>
      </c>
      <c r="R33" s="19" t="s">
        <v>256</v>
      </c>
      <c r="S33" s="19"/>
      <c r="T33" s="19" t="s">
        <v>52</v>
      </c>
      <c r="U33" s="19" t="s">
        <v>89</v>
      </c>
      <c r="V33" s="19" t="s">
        <v>71</v>
      </c>
      <c r="W33" s="19" t="s">
        <v>55</v>
      </c>
      <c r="X33" s="19" t="s">
        <v>148</v>
      </c>
      <c r="Y33" s="19"/>
      <c r="Z33" s="19" t="s">
        <v>257</v>
      </c>
      <c r="AA33" s="19">
        <v>1</v>
      </c>
      <c r="AB33" s="19">
        <v>1</v>
      </c>
      <c r="AC33" s="19" t="s">
        <v>58</v>
      </c>
      <c r="AD33" s="19" t="s">
        <v>254</v>
      </c>
      <c r="AE33" s="19" t="s">
        <v>139</v>
      </c>
      <c r="AF33" s="19" t="s">
        <v>258</v>
      </c>
    </row>
    <row r="34" spans="1:34">
      <c r="A34" s="19">
        <v>26</v>
      </c>
      <c r="B34" s="19" t="s">
        <v>228</v>
      </c>
      <c r="C34" s="19" t="s">
        <v>259</v>
      </c>
      <c r="D34" s="19" t="str">
        <f>HYPERLINK("http://henontech.com/fieldsafety/harzard/harzard_show.php?rid=953&amp;url=harzardrecs.php","吊车吊出设备时钢丝绳断裂，二热水塔坠落地面，砸中换热器，造成换热器损坏。")</f>
        <v>吊车吊出设备时钢丝绳断裂，二热水塔坠落地面，砸中换热器，造成换热器损坏。</v>
      </c>
      <c r="E34" s="19" t="s">
        <v>260</v>
      </c>
      <c r="F34" s="20" t="s">
        <v>42</v>
      </c>
      <c r="G34" s="24" t="s">
        <v>251</v>
      </c>
      <c r="H34" s="19" t="s">
        <v>44</v>
      </c>
      <c r="I34" s="19" t="s">
        <v>97</v>
      </c>
      <c r="J34" s="19" t="s">
        <v>175</v>
      </c>
      <c r="K34" s="19" t="s">
        <v>98</v>
      </c>
      <c r="L34" s="19" t="s">
        <v>99</v>
      </c>
      <c r="M34" s="19" t="s">
        <v>241</v>
      </c>
      <c r="N34" s="19" t="s">
        <v>261</v>
      </c>
      <c r="O34" s="19" t="s">
        <v>241</v>
      </c>
      <c r="P34" s="19" t="s">
        <v>254</v>
      </c>
      <c r="Q34" s="19" t="s">
        <v>262</v>
      </c>
      <c r="R34" s="19" t="s">
        <v>263</v>
      </c>
      <c r="S34" s="19"/>
      <c r="T34" s="19" t="s">
        <v>78</v>
      </c>
      <c r="U34" s="19" t="s">
        <v>79</v>
      </c>
      <c r="V34" s="19" t="s">
        <v>71</v>
      </c>
      <c r="W34" s="19" t="s">
        <v>81</v>
      </c>
      <c r="X34" s="19" t="s">
        <v>56</v>
      </c>
      <c r="Y34" s="19" t="s">
        <v>73</v>
      </c>
      <c r="Z34" s="19" t="s">
        <v>264</v>
      </c>
      <c r="AA34" s="19">
        <v>1</v>
      </c>
      <c r="AB34" s="19">
        <v>1</v>
      </c>
      <c r="AC34" s="19" t="s">
        <v>58</v>
      </c>
      <c r="AD34" s="19" t="s">
        <v>254</v>
      </c>
      <c r="AE34" s="19" t="s">
        <v>265</v>
      </c>
      <c r="AF34" s="19" t="s">
        <v>266</v>
      </c>
    </row>
    <row r="35" spans="1:34">
      <c r="A35" s="19">
        <v>27</v>
      </c>
      <c r="B35" s="19" t="s">
        <v>228</v>
      </c>
      <c r="C35" s="19" t="s">
        <v>267</v>
      </c>
      <c r="D35" s="19" t="str">
        <f>HYPERLINK("http://henontech.com/fieldsafety/harzard/harzard_show.php?rid=954&amp;url=harzardrecs.php","芬顿副塔直立爬梯护笼底部偏高，操作人员上下爬梯时容易跌落，造成脚部骨折，住院治疗10天，")</f>
        <v>芬顿副塔直立爬梯护笼底部偏高，操作人员上下爬梯时容易跌落，造成脚部骨折，住院治疗10天，</v>
      </c>
      <c r="E35" s="19" t="s">
        <v>268</v>
      </c>
      <c r="F35" s="23" t="s">
        <v>96</v>
      </c>
      <c r="G35" s="22" t="s">
        <v>64</v>
      </c>
      <c r="H35" s="19" t="s">
        <v>44</v>
      </c>
      <c r="I35" s="19"/>
      <c r="J35" s="19" t="s">
        <v>45</v>
      </c>
      <c r="K35" s="19"/>
      <c r="L35" s="19"/>
      <c r="M35" s="19" t="s">
        <v>232</v>
      </c>
      <c r="N35" s="19" t="s">
        <v>269</v>
      </c>
      <c r="O35" s="19"/>
      <c r="P35" s="19"/>
      <c r="Q35" s="19"/>
      <c r="R35" s="19" t="s">
        <v>270</v>
      </c>
      <c r="S35" s="19" t="s">
        <v>271</v>
      </c>
      <c r="T35" s="19" t="s">
        <v>52</v>
      </c>
      <c r="U35" s="19" t="s">
        <v>89</v>
      </c>
      <c r="V35" s="19" t="s">
        <v>54</v>
      </c>
      <c r="W35" s="19" t="s">
        <v>72</v>
      </c>
      <c r="X35" s="19"/>
      <c r="Y35" s="19"/>
      <c r="Z35" s="19"/>
      <c r="AA35" s="19">
        <v>0</v>
      </c>
      <c r="AB35" s="19"/>
      <c r="AC35" s="19" t="s">
        <v>103</v>
      </c>
      <c r="AD35" s="19"/>
      <c r="AE35" s="19"/>
      <c r="AF35" s="19"/>
    </row>
    <row r="36" spans="1:34">
      <c r="A36" s="19">
        <v>28</v>
      </c>
      <c r="B36" s="19" t="s">
        <v>228</v>
      </c>
      <c r="C36" s="19" t="s">
        <v>256</v>
      </c>
      <c r="D36" s="19" t="str">
        <f>HYPERLINK("http://henontech.com/fieldsafety/harzard/harzard_show.php?rid=955&amp;url=harzardrecs.php","现场管线、线路太乱，当操作工经过时被线路绊倒，安全帽摔掉，额头撞到周边设备上。")</f>
        <v>现场管线、线路太乱，当操作工经过时被线路绊倒，安全帽摔掉，额头撞到周边设备上。</v>
      </c>
      <c r="E36" s="19" t="s">
        <v>272</v>
      </c>
      <c r="F36" s="20" t="s">
        <v>42</v>
      </c>
      <c r="G36" s="21" t="s">
        <v>43</v>
      </c>
      <c r="H36" s="19" t="s">
        <v>44</v>
      </c>
      <c r="I36" s="19" t="s">
        <v>106</v>
      </c>
      <c r="J36" s="19" t="s">
        <v>45</v>
      </c>
      <c r="K36" s="19" t="s">
        <v>98</v>
      </c>
      <c r="L36" s="19" t="s">
        <v>99</v>
      </c>
      <c r="M36" s="19" t="s">
        <v>241</v>
      </c>
      <c r="N36" s="19" t="s">
        <v>273</v>
      </c>
      <c r="O36" s="19" t="s">
        <v>241</v>
      </c>
      <c r="P36" s="19" t="s">
        <v>274</v>
      </c>
      <c r="Q36" s="19" t="s">
        <v>275</v>
      </c>
      <c r="R36" s="19" t="s">
        <v>276</v>
      </c>
      <c r="S36" s="19"/>
      <c r="T36" s="19" t="s">
        <v>52</v>
      </c>
      <c r="U36" s="19" t="s">
        <v>89</v>
      </c>
      <c r="V36" s="19" t="s">
        <v>54</v>
      </c>
      <c r="W36" s="19" t="s">
        <v>72</v>
      </c>
      <c r="X36" s="19" t="s">
        <v>246</v>
      </c>
      <c r="Y36" s="19" t="s">
        <v>246</v>
      </c>
      <c r="Z36" s="19" t="s">
        <v>277</v>
      </c>
      <c r="AA36" s="19">
        <v>1</v>
      </c>
      <c r="AB36" s="19">
        <v>1</v>
      </c>
      <c r="AC36" s="19" t="s">
        <v>58</v>
      </c>
      <c r="AD36" s="19" t="s">
        <v>274</v>
      </c>
      <c r="AE36" s="19" t="s">
        <v>228</v>
      </c>
      <c r="AF36" s="19" t="s">
        <v>278</v>
      </c>
    </row>
    <row r="37" spans="1:34">
      <c r="A37" s="19">
        <v>29</v>
      </c>
      <c r="B37" s="19" t="s">
        <v>150</v>
      </c>
      <c r="C37" s="19" t="s">
        <v>279</v>
      </c>
      <c r="D37" s="19" t="str">
        <f>HYPERLINK("http://henontech.com/fieldsafety/harzard/harzard_show.php?rid=956&amp;url=harzardrecs.php","操作工在巡检液氨大槽液位时，由于脚部打滑，平台无护栏，不慎高处坠落。造成腿部擦伤，出血。")</f>
        <v>操作工在巡检液氨大槽液位时，由于脚部打滑，平台无护栏，不慎高处坠落。造成腿部擦伤，出血。</v>
      </c>
      <c r="E37" s="19" t="s">
        <v>280</v>
      </c>
      <c r="F37" s="20" t="s">
        <v>42</v>
      </c>
      <c r="G37" s="22" t="s">
        <v>64</v>
      </c>
      <c r="H37" s="19" t="s">
        <v>44</v>
      </c>
      <c r="I37" s="19"/>
      <c r="J37" s="19" t="s">
        <v>45</v>
      </c>
      <c r="K37" s="19" t="s">
        <v>108</v>
      </c>
      <c r="L37" s="19" t="s">
        <v>99</v>
      </c>
      <c r="M37" s="19" t="s">
        <v>241</v>
      </c>
      <c r="N37" s="19" t="s">
        <v>281</v>
      </c>
      <c r="O37" s="19" t="s">
        <v>241</v>
      </c>
      <c r="P37" s="19" t="s">
        <v>282</v>
      </c>
      <c r="Q37" s="19" t="s">
        <v>262</v>
      </c>
      <c r="R37" s="19" t="s">
        <v>283</v>
      </c>
      <c r="S37" s="19"/>
      <c r="T37" s="19" t="s">
        <v>52</v>
      </c>
      <c r="U37" s="19" t="s">
        <v>70</v>
      </c>
      <c r="V37" s="19" t="s">
        <v>71</v>
      </c>
      <c r="W37" s="19" t="s">
        <v>72</v>
      </c>
      <c r="X37" s="19" t="s">
        <v>284</v>
      </c>
      <c r="Y37" s="19"/>
      <c r="Z37" s="19" t="s">
        <v>285</v>
      </c>
      <c r="AA37" s="19">
        <v>1</v>
      </c>
      <c r="AB37" s="19">
        <v>1</v>
      </c>
      <c r="AC37" s="19" t="s">
        <v>58</v>
      </c>
      <c r="AD37" s="19" t="s">
        <v>282</v>
      </c>
      <c r="AE37" s="19" t="s">
        <v>150</v>
      </c>
      <c r="AF37" s="19" t="s">
        <v>286</v>
      </c>
    </row>
    <row r="38" spans="1:34">
      <c r="A38" s="19">
        <v>30</v>
      </c>
      <c r="B38" s="19" t="s">
        <v>150</v>
      </c>
      <c r="C38" s="19" t="s">
        <v>287</v>
      </c>
      <c r="D38" s="19" t="str">
        <f>HYPERLINK("http://henontech.com/fieldsafety/harzard/harzard_show.php?rid=957&amp;url=harzardrecs.php","循环水池清淤过程中，吊车吊装料斗至运输车上方，吊装绳索断使料斗坠落造成运输车接料人员受伤。")</f>
        <v>循环水池清淤过程中，吊车吊装料斗至运输车上方，吊装绳索断使料斗坠落造成运输车接料人员受伤。</v>
      </c>
      <c r="E38" s="19" t="s">
        <v>288</v>
      </c>
      <c r="F38" s="20" t="s">
        <v>42</v>
      </c>
      <c r="G38" s="22" t="s">
        <v>64</v>
      </c>
      <c r="H38" s="19" t="s">
        <v>44</v>
      </c>
      <c r="I38" s="19" t="s">
        <v>97</v>
      </c>
      <c r="J38" s="19" t="s">
        <v>45</v>
      </c>
      <c r="K38" s="19" t="s">
        <v>98</v>
      </c>
      <c r="L38" s="19" t="s">
        <v>99</v>
      </c>
      <c r="M38" s="19" t="s">
        <v>241</v>
      </c>
      <c r="N38" s="19" t="s">
        <v>289</v>
      </c>
      <c r="O38" s="19" t="s">
        <v>241</v>
      </c>
      <c r="P38" s="19" t="s">
        <v>282</v>
      </c>
      <c r="Q38" s="19" t="s">
        <v>290</v>
      </c>
      <c r="R38" s="19" t="s">
        <v>291</v>
      </c>
      <c r="S38" s="19"/>
      <c r="T38" s="19" t="s">
        <v>52</v>
      </c>
      <c r="U38" s="19" t="s">
        <v>70</v>
      </c>
      <c r="V38" s="19" t="s">
        <v>124</v>
      </c>
      <c r="W38" s="19" t="s">
        <v>81</v>
      </c>
      <c r="X38" s="19" t="s">
        <v>246</v>
      </c>
      <c r="Y38" s="19" t="s">
        <v>246</v>
      </c>
      <c r="Z38" s="19" t="s">
        <v>292</v>
      </c>
      <c r="AA38" s="19">
        <v>1</v>
      </c>
      <c r="AB38" s="19">
        <v>1</v>
      </c>
      <c r="AC38" s="19" t="s">
        <v>58</v>
      </c>
      <c r="AD38" s="19" t="s">
        <v>282</v>
      </c>
      <c r="AE38" s="19" t="s">
        <v>150</v>
      </c>
      <c r="AF38" s="19" t="s">
        <v>293</v>
      </c>
    </row>
    <row r="39" spans="1:34">
      <c r="A39" s="19">
        <v>31</v>
      </c>
      <c r="B39" s="19" t="s">
        <v>150</v>
      </c>
      <c r="C39" s="19" t="s">
        <v>294</v>
      </c>
      <c r="D39" s="19" t="str">
        <f>HYPERLINK("http://henontech.com/fieldsafety/harzard/harzard_show.php?rid=958&amp;url=harzardrecs.php","巡检工在夜间巡检时，现场地沟盖板损坏没能及时发现，造成巡检工拌倒跌伤。")</f>
        <v>巡检工在夜间巡检时，现场地沟盖板损坏没能及时发现，造成巡检工拌倒跌伤。</v>
      </c>
      <c r="E39" s="19" t="s">
        <v>280</v>
      </c>
      <c r="F39" s="20" t="s">
        <v>42</v>
      </c>
      <c r="G39" s="22" t="s">
        <v>64</v>
      </c>
      <c r="H39" s="19" t="s">
        <v>44</v>
      </c>
      <c r="I39" s="19"/>
      <c r="J39" s="19" t="s">
        <v>45</v>
      </c>
      <c r="K39" s="19" t="s">
        <v>176</v>
      </c>
      <c r="L39" s="19"/>
      <c r="M39" s="19" t="s">
        <v>241</v>
      </c>
      <c r="N39" s="19" t="s">
        <v>295</v>
      </c>
      <c r="O39" s="19" t="s">
        <v>241</v>
      </c>
      <c r="P39" s="19" t="s">
        <v>282</v>
      </c>
      <c r="Q39" s="19" t="s">
        <v>49</v>
      </c>
      <c r="R39" s="19" t="s">
        <v>276</v>
      </c>
      <c r="S39" s="19"/>
      <c r="T39" s="19" t="s">
        <v>52</v>
      </c>
      <c r="U39" s="19" t="s">
        <v>70</v>
      </c>
      <c r="V39" s="19" t="s">
        <v>54</v>
      </c>
      <c r="W39" s="19" t="s">
        <v>81</v>
      </c>
      <c r="X39" s="19" t="s">
        <v>246</v>
      </c>
      <c r="Y39" s="19" t="s">
        <v>246</v>
      </c>
      <c r="Z39" s="19" t="s">
        <v>296</v>
      </c>
      <c r="AA39" s="19">
        <v>1</v>
      </c>
      <c r="AB39" s="19">
        <v>1</v>
      </c>
      <c r="AC39" s="19" t="s">
        <v>58</v>
      </c>
      <c r="AD39" s="19" t="s">
        <v>282</v>
      </c>
      <c r="AE39" s="19" t="s">
        <v>275</v>
      </c>
      <c r="AF39" s="19" t="s">
        <v>297</v>
      </c>
    </row>
    <row r="40" spans="1:34">
      <c r="A40" s="19">
        <v>32</v>
      </c>
      <c r="B40" s="19" t="s">
        <v>150</v>
      </c>
      <c r="C40" s="19" t="s">
        <v>298</v>
      </c>
      <c r="D40" s="19" t="str">
        <f>HYPERLINK("http://henontech.com/fieldsafety/harzard/harzard_show.php?rid=959&amp;url=harzardrecs.php","防腐除锈人员安全带未按要求挂牢，在作业过程中，造成作业人员从平台掉落，造成作业人员骨折的伤害事故。")</f>
        <v>防腐除锈人员安全带未按要求挂牢，在作业过程中，造成作业人员从平台掉落，造成作业人员骨折的伤害事故。</v>
      </c>
      <c r="E40" s="19" t="s">
        <v>299</v>
      </c>
      <c r="F40" s="20" t="s">
        <v>42</v>
      </c>
      <c r="G40" s="22" t="s">
        <v>64</v>
      </c>
      <c r="H40" s="19" t="s">
        <v>44</v>
      </c>
      <c r="I40" s="19" t="s">
        <v>106</v>
      </c>
      <c r="J40" s="19" t="s">
        <v>182</v>
      </c>
      <c r="K40" s="19" t="s">
        <v>216</v>
      </c>
      <c r="L40" s="19" t="s">
        <v>99</v>
      </c>
      <c r="M40" s="19" t="s">
        <v>241</v>
      </c>
      <c r="N40" s="19" t="s">
        <v>300</v>
      </c>
      <c r="O40" s="19" t="s">
        <v>241</v>
      </c>
      <c r="P40" s="19" t="s">
        <v>282</v>
      </c>
      <c r="Q40" s="19" t="s">
        <v>290</v>
      </c>
      <c r="R40" s="19" t="s">
        <v>301</v>
      </c>
      <c r="S40" s="19"/>
      <c r="T40" s="19" t="s">
        <v>52</v>
      </c>
      <c r="U40" s="19" t="s">
        <v>89</v>
      </c>
      <c r="V40" s="19" t="s">
        <v>71</v>
      </c>
      <c r="W40" s="19" t="s">
        <v>55</v>
      </c>
      <c r="X40" s="19" t="s">
        <v>246</v>
      </c>
      <c r="Y40" s="19" t="s">
        <v>246</v>
      </c>
      <c r="Z40" s="19" t="s">
        <v>302</v>
      </c>
      <c r="AA40" s="19">
        <v>1</v>
      </c>
      <c r="AB40" s="19">
        <v>1</v>
      </c>
      <c r="AC40" s="19" t="s">
        <v>58</v>
      </c>
      <c r="AD40" s="19" t="s">
        <v>282</v>
      </c>
      <c r="AE40" s="19" t="s">
        <v>150</v>
      </c>
      <c r="AF40" s="19" t="s">
        <v>303</v>
      </c>
    </row>
    <row r="41" spans="1:34">
      <c r="A41" s="19">
        <v>33</v>
      </c>
      <c r="B41" s="19" t="s">
        <v>150</v>
      </c>
      <c r="C41" s="19" t="s">
        <v>287</v>
      </c>
      <c r="D41" s="19" t="str">
        <f>HYPERLINK("http://henontech.com/fieldsafety/harzard/harzard_show.php?rid=960&amp;url=harzardrecs.php","转化作业爬梯不合格，也未捆扎固体，操作工登至最高点，脚踩横撑断裂，高处坠落，腿部着地，造成膝盖骨折，住院治疗三个月")</f>
        <v>转化作业爬梯不合格，也未捆扎固体，操作工登至最高点，脚踩横撑断裂，高处坠落，腿部着地，造成膝盖骨折，住院治疗三个月</v>
      </c>
      <c r="E41" s="19" t="s">
        <v>304</v>
      </c>
      <c r="F41" s="20" t="s">
        <v>42</v>
      </c>
      <c r="G41" s="22" t="s">
        <v>64</v>
      </c>
      <c r="H41" s="19" t="s">
        <v>44</v>
      </c>
      <c r="I41" s="19"/>
      <c r="J41" s="19" t="s">
        <v>45</v>
      </c>
      <c r="K41" s="19" t="s">
        <v>216</v>
      </c>
      <c r="L41" s="19"/>
      <c r="M41" s="19" t="s">
        <v>241</v>
      </c>
      <c r="N41" s="19" t="s">
        <v>305</v>
      </c>
      <c r="O41" s="19" t="s">
        <v>241</v>
      </c>
      <c r="P41" s="19" t="s">
        <v>306</v>
      </c>
      <c r="Q41" s="19" t="s">
        <v>49</v>
      </c>
      <c r="R41" s="19" t="s">
        <v>307</v>
      </c>
      <c r="S41" s="19"/>
      <c r="T41" s="19" t="s">
        <v>52</v>
      </c>
      <c r="U41" s="19" t="s">
        <v>89</v>
      </c>
      <c r="V41" s="19" t="s">
        <v>71</v>
      </c>
      <c r="W41" s="19" t="s">
        <v>55</v>
      </c>
      <c r="X41" s="19" t="s">
        <v>73</v>
      </c>
      <c r="Y41" s="19" t="s">
        <v>73</v>
      </c>
      <c r="Z41" s="19" t="s">
        <v>308</v>
      </c>
      <c r="AA41" s="19">
        <v>1</v>
      </c>
      <c r="AB41" s="19">
        <v>1</v>
      </c>
      <c r="AC41" s="19" t="s">
        <v>58</v>
      </c>
      <c r="AD41" s="19" t="s">
        <v>306</v>
      </c>
      <c r="AE41" s="19" t="s">
        <v>61</v>
      </c>
      <c r="AF41" s="19" t="s">
        <v>278</v>
      </c>
    </row>
    <row r="42" spans="1:34" customHeight="1" ht="42">
      <c r="A42" s="19">
        <v>34</v>
      </c>
      <c r="B42" s="19" t="s">
        <v>150</v>
      </c>
      <c r="C42" s="19" t="s">
        <v>267</v>
      </c>
      <c r="D42" s="19" t="str">
        <f>HYPERLINK("http://henontech.com/fieldsafety/harzard/harzard_show.php?rid=961&amp;url=harzardrecs.php","加药罐爬梯踏板太窄，操作工在加完药时，下爬梯时踩空，爬梯一边没有护栏从爬梯上一侧掉下，造成该人员右小腿骨折，住院治疗收7天，在家休息3个月。")</f>
        <v>加药罐爬梯踏板太窄，操作工在加完药时，下爬梯时踩空，爬梯一边没有护栏从爬梯上一侧掉下，造成该人员右小腿骨折，住院治疗收7天，在家休息3个月。</v>
      </c>
      <c r="E42" s="19" t="s">
        <v>309</v>
      </c>
      <c r="F42" s="20" t="s">
        <v>42</v>
      </c>
      <c r="G42" s="22" t="s">
        <v>64</v>
      </c>
      <c r="H42" s="19" t="s">
        <v>44</v>
      </c>
      <c r="I42" s="19" t="s">
        <v>97</v>
      </c>
      <c r="J42" s="19" t="s">
        <v>182</v>
      </c>
      <c r="K42" s="19" t="s">
        <v>170</v>
      </c>
      <c r="L42" s="19" t="s">
        <v>99</v>
      </c>
      <c r="M42" s="19" t="s">
        <v>232</v>
      </c>
      <c r="N42" s="19" t="s">
        <v>310</v>
      </c>
      <c r="O42" s="19" t="s">
        <v>232</v>
      </c>
      <c r="P42" s="19" t="s">
        <v>234</v>
      </c>
      <c r="Q42" s="19" t="s">
        <v>49</v>
      </c>
      <c r="R42" s="19" t="s">
        <v>311</v>
      </c>
      <c r="S42" s="19" t="s">
        <v>312</v>
      </c>
      <c r="T42" s="19" t="s">
        <v>52</v>
      </c>
      <c r="U42" s="19" t="s">
        <v>89</v>
      </c>
      <c r="V42" s="19" t="s">
        <v>71</v>
      </c>
      <c r="W42" s="19" t="s">
        <v>55</v>
      </c>
      <c r="X42" s="19" t="s">
        <v>73</v>
      </c>
      <c r="Y42" s="19" t="s">
        <v>73</v>
      </c>
      <c r="Z42" s="19" t="s">
        <v>313</v>
      </c>
      <c r="AA42" s="19">
        <v>2</v>
      </c>
      <c r="AB42" s="19">
        <v>2</v>
      </c>
      <c r="AC42" s="19" t="s">
        <v>58</v>
      </c>
      <c r="AD42" s="19" t="s">
        <v>234</v>
      </c>
      <c r="AE42" s="19" t="s">
        <v>163</v>
      </c>
      <c r="AF42" s="19" t="s">
        <v>314</v>
      </c>
    </row>
    <row r="43" spans="1:34">
      <c r="A43" s="19">
        <v>35</v>
      </c>
      <c r="B43" s="19" t="s">
        <v>150</v>
      </c>
      <c r="C43" s="19" t="s">
        <v>249</v>
      </c>
      <c r="D43" s="19" t="str">
        <f>HYPERLINK("http://henontech.com/fieldsafety/harzard/harzard_show.php?rid=962&amp;url=harzardrecs.php","压缩机冷排未打夹子固定，加压后冷排容易晃动，损坏设备。")</f>
        <v>压缩机冷排未打夹子固定，加压后冷排容易晃动，损坏设备。</v>
      </c>
      <c r="E43" s="19" t="s">
        <v>315</v>
      </c>
      <c r="F43" s="20" t="s">
        <v>42</v>
      </c>
      <c r="G43" s="24" t="s">
        <v>251</v>
      </c>
      <c r="H43" s="19" t="s">
        <v>44</v>
      </c>
      <c r="I43" s="19" t="s">
        <v>106</v>
      </c>
      <c r="J43" s="19" t="s">
        <v>45</v>
      </c>
      <c r="K43" s="19" t="s">
        <v>108</v>
      </c>
      <c r="L43" s="19" t="s">
        <v>99</v>
      </c>
      <c r="M43" s="19" t="s">
        <v>241</v>
      </c>
      <c r="N43" s="19" t="s">
        <v>316</v>
      </c>
      <c r="O43" s="19" t="s">
        <v>241</v>
      </c>
      <c r="P43" s="19" t="s">
        <v>282</v>
      </c>
      <c r="Q43" s="19" t="s">
        <v>262</v>
      </c>
      <c r="R43" s="19" t="s">
        <v>317</v>
      </c>
      <c r="S43" s="19"/>
      <c r="T43" s="19" t="s">
        <v>78</v>
      </c>
      <c r="U43" s="19" t="s">
        <v>79</v>
      </c>
      <c r="V43" s="19" t="s">
        <v>71</v>
      </c>
      <c r="W43" s="19" t="s">
        <v>81</v>
      </c>
      <c r="X43" s="19" t="s">
        <v>56</v>
      </c>
      <c r="Y43" s="19" t="s">
        <v>148</v>
      </c>
      <c r="Z43" s="19" t="s">
        <v>318</v>
      </c>
      <c r="AA43" s="19">
        <v>1</v>
      </c>
      <c r="AB43" s="19">
        <v>1</v>
      </c>
      <c r="AC43" s="19" t="s">
        <v>58</v>
      </c>
      <c r="AD43" s="19" t="s">
        <v>282</v>
      </c>
      <c r="AE43" s="19" t="s">
        <v>167</v>
      </c>
      <c r="AF43" s="19" t="s">
        <v>319</v>
      </c>
    </row>
    <row r="44" spans="1:34">
      <c r="A44" s="19">
        <v>36</v>
      </c>
      <c r="B44" s="19" t="s">
        <v>150</v>
      </c>
      <c r="C44" s="19" t="s">
        <v>294</v>
      </c>
      <c r="D44" s="19" t="str">
        <f>HYPERLINK("http://henontech.com/fieldsafety/harzard/harzard_show.php?rid=963&amp;url=harzardrecs.php","污水沟盖板断裂，夜间光线差，1名夜班巡检人员在盖板行走，不小心踏入水沟")</f>
        <v>污水沟盖板断裂，夜间光线差，1名夜班巡检人员在盖板行走，不小心踏入水沟</v>
      </c>
      <c r="E44" s="19" t="s">
        <v>320</v>
      </c>
      <c r="F44" s="20" t="s">
        <v>42</v>
      </c>
      <c r="G44" s="21" t="s">
        <v>43</v>
      </c>
      <c r="H44" s="19" t="s">
        <v>44</v>
      </c>
      <c r="I44" s="19" t="s">
        <v>97</v>
      </c>
      <c r="J44" s="19" t="s">
        <v>45</v>
      </c>
      <c r="K44" s="19" t="s">
        <v>176</v>
      </c>
      <c r="L44" s="19" t="s">
        <v>252</v>
      </c>
      <c r="M44" s="19" t="s">
        <v>241</v>
      </c>
      <c r="N44" s="19" t="s">
        <v>321</v>
      </c>
      <c r="O44" s="19" t="s">
        <v>241</v>
      </c>
      <c r="P44" s="19" t="s">
        <v>254</v>
      </c>
      <c r="Q44" s="19" t="s">
        <v>262</v>
      </c>
      <c r="R44" s="19" t="s">
        <v>322</v>
      </c>
      <c r="S44" s="19"/>
      <c r="T44" s="19" t="s">
        <v>52</v>
      </c>
      <c r="U44" s="19" t="s">
        <v>89</v>
      </c>
      <c r="V44" s="19" t="s">
        <v>80</v>
      </c>
      <c r="W44" s="19" t="s">
        <v>116</v>
      </c>
      <c r="X44" s="19" t="s">
        <v>323</v>
      </c>
      <c r="Y44" s="19" t="s">
        <v>90</v>
      </c>
      <c r="Z44" s="19" t="s">
        <v>324</v>
      </c>
      <c r="AA44" s="19">
        <v>1</v>
      </c>
      <c r="AB44" s="19">
        <v>1</v>
      </c>
      <c r="AC44" s="19" t="s">
        <v>58</v>
      </c>
      <c r="AD44" s="19" t="s">
        <v>254</v>
      </c>
      <c r="AE44" s="19" t="s">
        <v>150</v>
      </c>
      <c r="AF44" s="19" t="s">
        <v>325</v>
      </c>
    </row>
    <row r="45" spans="1:34">
      <c r="A45" s="19">
        <v>37</v>
      </c>
      <c r="B45" s="19" t="s">
        <v>163</v>
      </c>
      <c r="C45" s="19" t="s">
        <v>229</v>
      </c>
      <c r="D45" s="19" t="str">
        <f>HYPERLINK("http://henontech.com/fieldsafety/harzard/harzard_show.php?rid=964&amp;url=harzardrecs.php","液碱泵子出口管道长无固定支架，压力高管道震动，造成腐蚀了的法兰处泄露，正好溅到巡检人员身上，虽然戴着防护面具，还是造成灼伤，上臂红肿，需住院观察两天的轻伤事故")</f>
        <v>液碱泵子出口管道长无固定支架，压力高管道震动，造成腐蚀了的法兰处泄露，正好溅到巡检人员身上，虽然戴着防护面具，还是造成灼伤，上臂红肿，需住院观察两天的轻伤事故</v>
      </c>
      <c r="E45" s="19" t="s">
        <v>326</v>
      </c>
      <c r="F45" s="20" t="s">
        <v>42</v>
      </c>
      <c r="G45" s="22" t="s">
        <v>64</v>
      </c>
      <c r="H45" s="19" t="s">
        <v>44</v>
      </c>
      <c r="I45" s="19" t="s">
        <v>106</v>
      </c>
      <c r="J45" s="19" t="s">
        <v>45</v>
      </c>
      <c r="K45" s="19" t="s">
        <v>176</v>
      </c>
      <c r="L45" s="19" t="s">
        <v>99</v>
      </c>
      <c r="M45" s="19" t="s">
        <v>232</v>
      </c>
      <c r="N45" s="19" t="s">
        <v>327</v>
      </c>
      <c r="O45" s="19" t="s">
        <v>232</v>
      </c>
      <c r="P45" s="19" t="s">
        <v>234</v>
      </c>
      <c r="Q45" s="19" t="s">
        <v>220</v>
      </c>
      <c r="R45" s="19" t="s">
        <v>328</v>
      </c>
      <c r="S45" s="19"/>
      <c r="T45" s="19" t="s">
        <v>52</v>
      </c>
      <c r="U45" s="19" t="s">
        <v>70</v>
      </c>
      <c r="V45" s="19" t="s">
        <v>54</v>
      </c>
      <c r="W45" s="19" t="s">
        <v>81</v>
      </c>
      <c r="X45" s="19" t="s">
        <v>73</v>
      </c>
      <c r="Y45" s="19" t="s">
        <v>73</v>
      </c>
      <c r="Z45" s="19" t="s">
        <v>329</v>
      </c>
      <c r="AA45" s="19">
        <v>1</v>
      </c>
      <c r="AB45" s="19">
        <v>1</v>
      </c>
      <c r="AC45" s="19" t="s">
        <v>58</v>
      </c>
      <c r="AD45" s="19" t="s">
        <v>234</v>
      </c>
      <c r="AE45" s="19" t="s">
        <v>220</v>
      </c>
      <c r="AF45" s="19" t="s">
        <v>330</v>
      </c>
    </row>
    <row r="46" spans="1:34">
      <c r="A46" s="19">
        <v>38</v>
      </c>
      <c r="B46" s="19" t="s">
        <v>163</v>
      </c>
      <c r="C46" s="19" t="s">
        <v>331</v>
      </c>
      <c r="D46" s="19" t="str">
        <f>HYPERLINK("http://henontech.com/fieldsafety/harzard/harzard_show.php?rid=965&amp;url=harzardrecs.php","一人在粗苯南系统排渣槽排渣时，未按照规定劳保穿戴，由于操作失误，造成洗油渣喷溅，一人中毒昏迷，送医院抢救，住院治疗1个月。")</f>
        <v>一人在粗苯南系统排渣槽排渣时，未按照规定劳保穿戴，由于操作失误，造成洗油渣喷溅，一人中毒昏迷，送医院抢救，住院治疗1个月。</v>
      </c>
      <c r="E46" s="19" t="s">
        <v>332</v>
      </c>
      <c r="F46" s="23" t="s">
        <v>96</v>
      </c>
      <c r="G46" s="22" t="s">
        <v>64</v>
      </c>
      <c r="H46" s="19" t="s">
        <v>44</v>
      </c>
      <c r="I46" s="19" t="s">
        <v>333</v>
      </c>
      <c r="J46" s="19" t="s">
        <v>45</v>
      </c>
      <c r="K46" s="19" t="s">
        <v>98</v>
      </c>
      <c r="L46" s="19" t="s">
        <v>99</v>
      </c>
      <c r="M46" s="19" t="s">
        <v>334</v>
      </c>
      <c r="N46" s="19" t="s">
        <v>335</v>
      </c>
      <c r="O46" s="19"/>
      <c r="P46" s="19"/>
      <c r="Q46" s="19"/>
      <c r="R46" s="19" t="s">
        <v>336</v>
      </c>
      <c r="S46" s="19" t="s">
        <v>337</v>
      </c>
      <c r="T46" s="19" t="s">
        <v>52</v>
      </c>
      <c r="U46" s="19" t="s">
        <v>89</v>
      </c>
      <c r="V46" s="19" t="s">
        <v>80</v>
      </c>
      <c r="W46" s="19" t="s">
        <v>116</v>
      </c>
      <c r="X46" s="19"/>
      <c r="Y46" s="19"/>
      <c r="Z46" s="19"/>
      <c r="AA46" s="19">
        <v>0</v>
      </c>
      <c r="AB46" s="19"/>
      <c r="AC46" s="19" t="s">
        <v>103</v>
      </c>
      <c r="AD46" s="19"/>
      <c r="AE46" s="19"/>
      <c r="AF46" s="19"/>
    </row>
    <row r="47" spans="1:34">
      <c r="A47" s="19">
        <v>39</v>
      </c>
      <c r="B47" s="19" t="s">
        <v>163</v>
      </c>
      <c r="C47" s="19" t="s">
        <v>338</v>
      </c>
      <c r="D47" s="19" t="str">
        <f>HYPERLINK("http://henontech.com/fieldsafety/harzard/harzard_show.php?rid=966&amp;url=harzardrecs.php","外协人员在深度脱硫再生塔顶进行堵漏时，其中一人安全带磨损严重断裂，外协人员从高空坠落至地面，当场死亡。")</f>
        <v>外协人员在深度脱硫再生塔顶进行堵漏时，其中一人安全带磨损严重断裂，外协人员从高空坠落至地面，当场死亡。</v>
      </c>
      <c r="E47" s="19" t="s">
        <v>339</v>
      </c>
      <c r="F47" s="23" t="s">
        <v>96</v>
      </c>
      <c r="G47" s="22" t="s">
        <v>64</v>
      </c>
      <c r="H47" s="19" t="s">
        <v>44</v>
      </c>
      <c r="I47" s="19" t="s">
        <v>106</v>
      </c>
      <c r="J47" s="19" t="s">
        <v>45</v>
      </c>
      <c r="K47" s="19" t="s">
        <v>98</v>
      </c>
      <c r="L47" s="19" t="s">
        <v>99</v>
      </c>
      <c r="M47" s="19" t="s">
        <v>334</v>
      </c>
      <c r="N47" s="19" t="s">
        <v>340</v>
      </c>
      <c r="O47" s="19"/>
      <c r="P47" s="19"/>
      <c r="Q47" s="19"/>
      <c r="R47" s="19" t="s">
        <v>341</v>
      </c>
      <c r="S47" s="19" t="s">
        <v>342</v>
      </c>
      <c r="T47" s="19" t="s">
        <v>52</v>
      </c>
      <c r="U47" s="19" t="s">
        <v>53</v>
      </c>
      <c r="V47" s="19" t="s">
        <v>71</v>
      </c>
      <c r="W47" s="19" t="s">
        <v>116</v>
      </c>
      <c r="X47" s="19"/>
      <c r="Y47" s="19"/>
      <c r="Z47" s="19"/>
      <c r="AA47" s="19">
        <v>0</v>
      </c>
      <c r="AB47" s="19"/>
      <c r="AC47" s="19" t="s">
        <v>103</v>
      </c>
      <c r="AD47" s="19"/>
      <c r="AE47" s="19"/>
      <c r="AF47" s="19"/>
    </row>
    <row r="48" spans="1:34">
      <c r="A48" s="19">
        <v>40</v>
      </c>
      <c r="B48" s="19" t="s">
        <v>163</v>
      </c>
      <c r="C48" s="19" t="s">
        <v>343</v>
      </c>
      <c r="D48" s="19" t="str">
        <f>HYPERLINK("http://henontech.com/fieldsafety/harzard/harzard_show.php?rid=967&amp;url=harzardrecs.php","在蒸汽管线对接过程中，由于管线温度高，一人未按规定挂好安全带安全绳，在管架上踩空导致从管架上坠落")</f>
        <v>在蒸汽管线对接过程中，由于管线温度高，一人未按规定挂好安全带安全绳，在管架上踩空导致从管架上坠落</v>
      </c>
      <c r="E48" s="19" t="s">
        <v>344</v>
      </c>
      <c r="F48" s="20" t="s">
        <v>42</v>
      </c>
      <c r="G48" s="22" t="s">
        <v>64</v>
      </c>
      <c r="H48" s="19" t="s">
        <v>44</v>
      </c>
      <c r="I48" s="19"/>
      <c r="J48" s="19" t="s">
        <v>107</v>
      </c>
      <c r="K48" s="19" t="s">
        <v>98</v>
      </c>
      <c r="L48" s="19"/>
      <c r="M48" s="19" t="s">
        <v>334</v>
      </c>
      <c r="N48" s="19" t="s">
        <v>345</v>
      </c>
      <c r="O48" s="19" t="s">
        <v>334</v>
      </c>
      <c r="P48" s="19" t="s">
        <v>346</v>
      </c>
      <c r="Q48" s="19" t="s">
        <v>347</v>
      </c>
      <c r="R48" s="19" t="s">
        <v>348</v>
      </c>
      <c r="S48" s="19"/>
      <c r="T48" s="19" t="s">
        <v>52</v>
      </c>
      <c r="U48" s="19" t="s">
        <v>70</v>
      </c>
      <c r="V48" s="19" t="s">
        <v>124</v>
      </c>
      <c r="W48" s="19" t="s">
        <v>81</v>
      </c>
      <c r="X48" s="19"/>
      <c r="Y48" s="19"/>
      <c r="Z48" s="19" t="s">
        <v>349</v>
      </c>
      <c r="AA48" s="19">
        <v>1</v>
      </c>
      <c r="AB48" s="19">
        <v>1</v>
      </c>
      <c r="AC48" s="19" t="s">
        <v>58</v>
      </c>
      <c r="AD48" s="19" t="s">
        <v>346</v>
      </c>
      <c r="AE48" s="19" t="s">
        <v>350</v>
      </c>
      <c r="AF48" s="19"/>
    </row>
    <row r="49" spans="1:34">
      <c r="A49" s="19">
        <v>41</v>
      </c>
      <c r="B49" s="19" t="s">
        <v>163</v>
      </c>
      <c r="C49" s="19" t="s">
        <v>351</v>
      </c>
      <c r="D49" s="19" t="str">
        <f>HYPERLINK("http://henontech.com/fieldsafety/harzard/harzard_show.php?rid=968&amp;url=harzardrecs.php","由于降温风扇的两个螺丝脱落，致使风扇护罩开裂")</f>
        <v>由于降温风扇的两个螺丝脱落，致使风扇护罩开裂</v>
      </c>
      <c r="E49" s="19" t="s">
        <v>352</v>
      </c>
      <c r="F49" s="23" t="s">
        <v>96</v>
      </c>
      <c r="G49" s="22" t="s">
        <v>64</v>
      </c>
      <c r="H49" s="19" t="s">
        <v>44</v>
      </c>
      <c r="I49" s="19" t="s">
        <v>97</v>
      </c>
      <c r="J49" s="19" t="s">
        <v>45</v>
      </c>
      <c r="K49" s="19" t="s">
        <v>170</v>
      </c>
      <c r="L49" s="19" t="s">
        <v>99</v>
      </c>
      <c r="M49" s="19" t="s">
        <v>334</v>
      </c>
      <c r="N49" s="19" t="s">
        <v>353</v>
      </c>
      <c r="O49" s="19"/>
      <c r="P49" s="19"/>
      <c r="Q49" s="19"/>
      <c r="R49" s="19" t="s">
        <v>354</v>
      </c>
      <c r="S49" s="19" t="s">
        <v>355</v>
      </c>
      <c r="T49" s="19" t="s">
        <v>52</v>
      </c>
      <c r="U49" s="19" t="s">
        <v>53</v>
      </c>
      <c r="V49" s="19" t="s">
        <v>80</v>
      </c>
      <c r="W49" s="19" t="s">
        <v>116</v>
      </c>
      <c r="X49" s="19"/>
      <c r="Y49" s="19"/>
      <c r="Z49" s="19"/>
      <c r="AA49" s="19">
        <v>0</v>
      </c>
      <c r="AB49" s="19"/>
      <c r="AC49" s="19" t="s">
        <v>103</v>
      </c>
      <c r="AD49" s="19"/>
      <c r="AE49" s="19"/>
      <c r="AF49" s="19"/>
    </row>
    <row r="50" spans="1:34">
      <c r="A50" s="19">
        <v>42</v>
      </c>
      <c r="B50" s="19" t="s">
        <v>163</v>
      </c>
      <c r="C50" s="19" t="s">
        <v>356</v>
      </c>
      <c r="D50" s="19" t="str">
        <f>HYPERLINK("http://henontech.com/fieldsafety/harzard/harzard_show.php?rid=969&amp;url=harzardrecs.php","保运人员在维修管道过程中许要用蒸汽吹扫管道内物质，在用软管连接蒸汽放空管时没有捆绑牢固，在开蒸汽阀门时软管脱落造成一人烫伤")</f>
        <v>保运人员在维修管道过程中许要用蒸汽吹扫管道内物质，在用软管连接蒸汽放空管时没有捆绑牢固，在开蒸汽阀门时软管脱落造成一人烫伤</v>
      </c>
      <c r="E50" s="19" t="s">
        <v>357</v>
      </c>
      <c r="F50" s="20" t="s">
        <v>42</v>
      </c>
      <c r="G50" s="22" t="s">
        <v>64</v>
      </c>
      <c r="H50" s="19" t="s">
        <v>44</v>
      </c>
      <c r="I50" s="19" t="s">
        <v>333</v>
      </c>
      <c r="J50" s="19" t="s">
        <v>107</v>
      </c>
      <c r="K50" s="19"/>
      <c r="L50" s="19"/>
      <c r="M50" s="19" t="s">
        <v>334</v>
      </c>
      <c r="N50" s="19" t="s">
        <v>358</v>
      </c>
      <c r="O50" s="19" t="s">
        <v>334</v>
      </c>
      <c r="P50" s="19" t="s">
        <v>346</v>
      </c>
      <c r="Q50" s="19" t="s">
        <v>359</v>
      </c>
      <c r="R50" s="19" t="s">
        <v>360</v>
      </c>
      <c r="S50" s="19"/>
      <c r="T50" s="19" t="s">
        <v>52</v>
      </c>
      <c r="U50" s="19" t="s">
        <v>89</v>
      </c>
      <c r="V50" s="19" t="s">
        <v>80</v>
      </c>
      <c r="W50" s="19" t="s">
        <v>116</v>
      </c>
      <c r="X50" s="19"/>
      <c r="Y50" s="19"/>
      <c r="Z50" s="19" t="s">
        <v>361</v>
      </c>
      <c r="AA50" s="19">
        <v>1</v>
      </c>
      <c r="AB50" s="19">
        <v>1</v>
      </c>
      <c r="AC50" s="19" t="s">
        <v>58</v>
      </c>
      <c r="AD50" s="19" t="s">
        <v>346</v>
      </c>
      <c r="AE50" s="19" t="s">
        <v>362</v>
      </c>
      <c r="AF50" s="19"/>
    </row>
    <row r="51" spans="1:34">
      <c r="A51" s="19">
        <v>43</v>
      </c>
      <c r="B51" s="19" t="s">
        <v>163</v>
      </c>
      <c r="C51" s="19" t="s">
        <v>259</v>
      </c>
      <c r="D51" s="19" t="str">
        <f>HYPERLINK("http://henontech.com/fieldsafety/harzard/harzard_show.php?rid=970&amp;url=harzardrecs.php","变换二热水塔吊装就位下落过程中，二热水塔摇摆将一名安装人员挤伤右脚。")</f>
        <v>变换二热水塔吊装就位下落过程中，二热水塔摇摆将一名安装人员挤伤右脚。</v>
      </c>
      <c r="E51" s="19" t="s">
        <v>363</v>
      </c>
      <c r="F51" s="20" t="s">
        <v>42</v>
      </c>
      <c r="G51" s="24" t="s">
        <v>251</v>
      </c>
      <c r="H51" s="19" t="s">
        <v>44</v>
      </c>
      <c r="I51" s="19" t="s">
        <v>119</v>
      </c>
      <c r="J51" s="19" t="s">
        <v>45</v>
      </c>
      <c r="K51" s="19" t="s">
        <v>98</v>
      </c>
      <c r="L51" s="19" t="s">
        <v>99</v>
      </c>
      <c r="M51" s="19" t="s">
        <v>241</v>
      </c>
      <c r="N51" s="19" t="s">
        <v>254</v>
      </c>
      <c r="O51" s="19" t="s">
        <v>241</v>
      </c>
      <c r="P51" s="19" t="s">
        <v>254</v>
      </c>
      <c r="Q51" s="19" t="s">
        <v>275</v>
      </c>
      <c r="R51" s="19" t="s">
        <v>259</v>
      </c>
      <c r="S51" s="19"/>
      <c r="T51" s="19" t="s">
        <v>52</v>
      </c>
      <c r="U51" s="19" t="s">
        <v>89</v>
      </c>
      <c r="V51" s="19" t="s">
        <v>71</v>
      </c>
      <c r="W51" s="19" t="s">
        <v>55</v>
      </c>
      <c r="X51" s="19" t="s">
        <v>364</v>
      </c>
      <c r="Y51" s="19" t="s">
        <v>148</v>
      </c>
      <c r="Z51" s="19" t="s">
        <v>365</v>
      </c>
      <c r="AA51" s="19">
        <v>1</v>
      </c>
      <c r="AB51" s="19">
        <v>1</v>
      </c>
      <c r="AC51" s="19" t="s">
        <v>58</v>
      </c>
      <c r="AD51" s="19" t="s">
        <v>254</v>
      </c>
      <c r="AE51" s="19" t="s">
        <v>366</v>
      </c>
      <c r="AF51" s="19" t="s">
        <v>367</v>
      </c>
    </row>
    <row r="52" spans="1:34" customHeight="1" ht="42">
      <c r="A52" s="19">
        <v>44</v>
      </c>
      <c r="B52" s="19" t="s">
        <v>167</v>
      </c>
      <c r="C52" s="19" t="s">
        <v>256</v>
      </c>
      <c r="D52" s="19" t="str">
        <f>HYPERLINK("http://henontech.com/fieldsafety/harzard/harzard_show.php?rid=971&amp;url=harzardrecs.php","两乙炔瓶未固定，操作人员去搬运其中一个时不小心碰倒另外一个，砸伤脚背")</f>
        <v>两乙炔瓶未固定，操作人员去搬运其中一个时不小心碰倒另外一个，砸伤脚背</v>
      </c>
      <c r="E52" s="19" t="s">
        <v>368</v>
      </c>
      <c r="F52" s="20" t="s">
        <v>42</v>
      </c>
      <c r="G52" s="21" t="s">
        <v>43</v>
      </c>
      <c r="H52" s="19" t="s">
        <v>44</v>
      </c>
      <c r="I52" s="19" t="s">
        <v>119</v>
      </c>
      <c r="J52" s="19" t="s">
        <v>182</v>
      </c>
      <c r="K52" s="19"/>
      <c r="L52" s="19"/>
      <c r="M52" s="19" t="s">
        <v>241</v>
      </c>
      <c r="N52" s="19" t="s">
        <v>369</v>
      </c>
      <c r="O52" s="19" t="s">
        <v>241</v>
      </c>
      <c r="P52" s="19" t="s">
        <v>274</v>
      </c>
      <c r="Q52" s="19" t="s">
        <v>275</v>
      </c>
      <c r="R52" s="19" t="s">
        <v>370</v>
      </c>
      <c r="S52" s="19"/>
      <c r="T52" s="19" t="s">
        <v>52</v>
      </c>
      <c r="U52" s="19" t="s">
        <v>89</v>
      </c>
      <c r="V52" s="19" t="s">
        <v>71</v>
      </c>
      <c r="W52" s="19" t="s">
        <v>55</v>
      </c>
      <c r="X52" s="19" t="s">
        <v>246</v>
      </c>
      <c r="Y52" s="19"/>
      <c r="Z52" s="19" t="s">
        <v>371</v>
      </c>
      <c r="AA52" s="19">
        <v>2</v>
      </c>
      <c r="AB52" s="19">
        <v>1</v>
      </c>
      <c r="AC52" s="19" t="s">
        <v>58</v>
      </c>
      <c r="AD52" s="19" t="s">
        <v>274</v>
      </c>
      <c r="AE52" s="19" t="s">
        <v>167</v>
      </c>
      <c r="AF52" s="19" t="s">
        <v>278</v>
      </c>
    </row>
    <row r="53" spans="1:34">
      <c r="A53" s="19">
        <v>45</v>
      </c>
      <c r="B53" s="19" t="s">
        <v>86</v>
      </c>
      <c r="C53" s="19" t="s">
        <v>372</v>
      </c>
      <c r="D53" s="19" t="str">
        <f>HYPERLINK("http://henontech.com/fieldsafety/harzard/harzard_show.php?rid=972&amp;url=harzardrecs.php","3#站厌氧罐防腐保温外层铁皮经年腐蚀老化，操作工在清理其周边卫生时被脱落的铁皮砸伤")</f>
        <v>3#站厌氧罐防腐保温外层铁皮经年腐蚀老化，操作工在清理其周边卫生时被脱落的铁皮砸伤</v>
      </c>
      <c r="E53" s="19" t="s">
        <v>373</v>
      </c>
      <c r="F53" s="20" t="s">
        <v>42</v>
      </c>
      <c r="G53" s="22" t="s">
        <v>64</v>
      </c>
      <c r="H53" s="19" t="s">
        <v>44</v>
      </c>
      <c r="I53" s="19" t="s">
        <v>119</v>
      </c>
      <c r="J53" s="19" t="s">
        <v>45</v>
      </c>
      <c r="K53" s="19" t="s">
        <v>98</v>
      </c>
      <c r="L53" s="19" t="s">
        <v>99</v>
      </c>
      <c r="M53" s="19" t="s">
        <v>232</v>
      </c>
      <c r="N53" s="19" t="s">
        <v>374</v>
      </c>
      <c r="O53" s="19" t="s">
        <v>232</v>
      </c>
      <c r="P53" s="19" t="s">
        <v>375</v>
      </c>
      <c r="Q53" s="19" t="s">
        <v>376</v>
      </c>
      <c r="R53" s="19" t="s">
        <v>377</v>
      </c>
      <c r="S53" s="19"/>
      <c r="T53" s="19" t="s">
        <v>52</v>
      </c>
      <c r="U53" s="19" t="s">
        <v>89</v>
      </c>
      <c r="V53" s="19" t="s">
        <v>71</v>
      </c>
      <c r="W53" s="19" t="s">
        <v>55</v>
      </c>
      <c r="X53" s="19" t="s">
        <v>73</v>
      </c>
      <c r="Y53" s="19" t="s">
        <v>73</v>
      </c>
      <c r="Z53" s="19" t="s">
        <v>378</v>
      </c>
      <c r="AA53" s="19">
        <v>1</v>
      </c>
      <c r="AB53" s="19">
        <v>1</v>
      </c>
      <c r="AC53" s="19" t="s">
        <v>58</v>
      </c>
      <c r="AD53" s="19" t="s">
        <v>375</v>
      </c>
      <c r="AE53" s="19" t="s">
        <v>379</v>
      </c>
      <c r="AF53" s="19" t="s">
        <v>380</v>
      </c>
    </row>
    <row r="54" spans="1:34">
      <c r="A54" s="19">
        <v>46</v>
      </c>
      <c r="B54" s="19" t="s">
        <v>167</v>
      </c>
      <c r="C54" s="19" t="s">
        <v>372</v>
      </c>
      <c r="D54" s="19" t="str">
        <f>HYPERLINK("http://henontech.com/fieldsafety/harzard/harzard_show.php?rid=973&amp;url=harzardrecs.php","3#站催化氧化罐爬梯处护栏缺失，操作工在跨越爬梯开启阀门时，踩空摔倒造成右小腿脚踝扭伤，在家修养3天。")</f>
        <v>3#站催化氧化罐爬梯处护栏缺失，操作工在跨越爬梯开启阀门时，踩空摔倒造成右小腿脚踝扭伤，在家修养3天。</v>
      </c>
      <c r="E54" s="19" t="s">
        <v>381</v>
      </c>
      <c r="F54" s="20" t="s">
        <v>42</v>
      </c>
      <c r="G54" s="22" t="s">
        <v>64</v>
      </c>
      <c r="H54" s="19" t="s">
        <v>44</v>
      </c>
      <c r="I54" s="19" t="s">
        <v>119</v>
      </c>
      <c r="J54" s="19" t="s">
        <v>45</v>
      </c>
      <c r="K54" s="19" t="s">
        <v>216</v>
      </c>
      <c r="L54" s="19" t="s">
        <v>99</v>
      </c>
      <c r="M54" s="19" t="s">
        <v>232</v>
      </c>
      <c r="N54" s="19" t="s">
        <v>374</v>
      </c>
      <c r="O54" s="19" t="s">
        <v>232</v>
      </c>
      <c r="P54" s="19" t="s">
        <v>375</v>
      </c>
      <c r="Q54" s="19" t="s">
        <v>382</v>
      </c>
      <c r="R54" s="19" t="s">
        <v>383</v>
      </c>
      <c r="S54" s="19"/>
      <c r="T54" s="19" t="s">
        <v>52</v>
      </c>
      <c r="U54" s="19" t="s">
        <v>89</v>
      </c>
      <c r="V54" s="19" t="s">
        <v>71</v>
      </c>
      <c r="W54" s="19" t="s">
        <v>55</v>
      </c>
      <c r="X54" s="19" t="s">
        <v>73</v>
      </c>
      <c r="Y54" s="19" t="s">
        <v>73</v>
      </c>
      <c r="Z54" s="19" t="s">
        <v>384</v>
      </c>
      <c r="AA54" s="19">
        <v>1</v>
      </c>
      <c r="AB54" s="19">
        <v>1</v>
      </c>
      <c r="AC54" s="19" t="s">
        <v>58</v>
      </c>
      <c r="AD54" s="19" t="s">
        <v>375</v>
      </c>
      <c r="AE54" s="19" t="s">
        <v>208</v>
      </c>
      <c r="AF54" s="19" t="s">
        <v>380</v>
      </c>
    </row>
    <row r="55" spans="1:34">
      <c r="A55" s="19">
        <v>47</v>
      </c>
      <c r="B55" s="19" t="s">
        <v>49</v>
      </c>
      <c r="C55" s="19" t="s">
        <v>385</v>
      </c>
      <c r="D55" s="19" t="str">
        <f>HYPERLINK("http://henontech.com/fieldsafety/harzard/harzard_show.php?rid=974&amp;url=harzardrecs.php","多介质进水管进药液止回阀处渗液，药液滴致多介质进水管及反洗水管上，腐蚀管道，如未及时发现，造成管道腐蚀泄。")</f>
        <v>多介质进水管进药液止回阀处渗液，药液滴致多介质进水管及反洗水管上，腐蚀管道，如未及时发现，造成管道腐蚀泄。</v>
      </c>
      <c r="E55" s="19" t="s">
        <v>386</v>
      </c>
      <c r="F55" s="20" t="s">
        <v>42</v>
      </c>
      <c r="G55" s="22" t="s">
        <v>64</v>
      </c>
      <c r="H55" s="19" t="s">
        <v>44</v>
      </c>
      <c r="I55" s="19"/>
      <c r="J55" s="19" t="s">
        <v>45</v>
      </c>
      <c r="K55" s="19"/>
      <c r="L55" s="19"/>
      <c r="M55" s="19" t="s">
        <v>232</v>
      </c>
      <c r="N55" s="19" t="s">
        <v>387</v>
      </c>
      <c r="O55" s="19" t="s">
        <v>232</v>
      </c>
      <c r="P55" s="19" t="s">
        <v>234</v>
      </c>
      <c r="Q55" s="19" t="s">
        <v>290</v>
      </c>
      <c r="R55" s="19" t="s">
        <v>388</v>
      </c>
      <c r="S55" s="19"/>
      <c r="T55" s="19" t="s">
        <v>78</v>
      </c>
      <c r="U55" s="19" t="s">
        <v>79</v>
      </c>
      <c r="V55" s="19" t="s">
        <v>80</v>
      </c>
      <c r="W55" s="19" t="s">
        <v>81</v>
      </c>
      <c r="X55" s="19" t="s">
        <v>73</v>
      </c>
      <c r="Y55" s="19" t="s">
        <v>73</v>
      </c>
      <c r="Z55" s="19" t="s">
        <v>389</v>
      </c>
      <c r="AA55" s="19">
        <v>1</v>
      </c>
      <c r="AB55" s="19">
        <v>1</v>
      </c>
      <c r="AC55" s="19" t="s">
        <v>58</v>
      </c>
      <c r="AD55" s="19" t="s">
        <v>234</v>
      </c>
      <c r="AE55" s="19" t="s">
        <v>59</v>
      </c>
      <c r="AF55" s="19" t="s">
        <v>390</v>
      </c>
    </row>
    <row r="56" spans="1:34">
      <c r="A56" s="19">
        <v>48</v>
      </c>
      <c r="B56" s="19" t="s">
        <v>167</v>
      </c>
      <c r="C56" s="19" t="s">
        <v>391</v>
      </c>
      <c r="D56" s="19" t="str">
        <f>HYPERLINK("http://henontech.com/fieldsafety/harzard/harzard_show.php?rid=975&amp;url=harzardrecs.php","一名操作工夜间巡检时由于照明不好，地沟盖板腐蚀破损严重，不慎掉入地沟中造成小腿擦伤。")</f>
        <v>一名操作工夜间巡检时由于照明不好，地沟盖板腐蚀破损严重，不慎掉入地沟中造成小腿擦伤。</v>
      </c>
      <c r="E56" s="19" t="s">
        <v>392</v>
      </c>
      <c r="F56" s="20" t="s">
        <v>42</v>
      </c>
      <c r="G56" s="22" t="s">
        <v>64</v>
      </c>
      <c r="H56" s="19" t="s">
        <v>44</v>
      </c>
      <c r="I56" s="19" t="s">
        <v>119</v>
      </c>
      <c r="J56" s="19"/>
      <c r="K56" s="19" t="s">
        <v>108</v>
      </c>
      <c r="L56" s="19"/>
      <c r="M56" s="19" t="s">
        <v>334</v>
      </c>
      <c r="N56" s="19" t="s">
        <v>393</v>
      </c>
      <c r="O56" s="19" t="s">
        <v>334</v>
      </c>
      <c r="P56" s="19" t="s">
        <v>346</v>
      </c>
      <c r="Q56" s="19" t="s">
        <v>394</v>
      </c>
      <c r="R56" s="19" t="s">
        <v>395</v>
      </c>
      <c r="S56" s="19"/>
      <c r="T56" s="19" t="s">
        <v>52</v>
      </c>
      <c r="U56" s="19" t="s">
        <v>70</v>
      </c>
      <c r="V56" s="19" t="s">
        <v>54</v>
      </c>
      <c r="W56" s="19" t="s">
        <v>81</v>
      </c>
      <c r="X56" s="19"/>
      <c r="Y56" s="19"/>
      <c r="Z56" s="19" t="s">
        <v>396</v>
      </c>
      <c r="AA56" s="19">
        <v>1</v>
      </c>
      <c r="AB56" s="19">
        <v>1</v>
      </c>
      <c r="AC56" s="19" t="s">
        <v>58</v>
      </c>
      <c r="AD56" s="19" t="s">
        <v>346</v>
      </c>
      <c r="AE56" s="19" t="s">
        <v>362</v>
      </c>
      <c r="AF56" s="19"/>
    </row>
    <row r="57" spans="1:34">
      <c r="A57" s="19">
        <v>49</v>
      </c>
      <c r="B57" s="19" t="s">
        <v>275</v>
      </c>
      <c r="C57" s="19" t="s">
        <v>267</v>
      </c>
      <c r="D57" s="19" t="str">
        <f>HYPERLINK("http://henontech.com/fieldsafety/harzard/harzard_show.php?rid=976&amp;url=harzardrecs.php","蒸馏装置支架腐蚀严重，在进行蒸馏操作时，玻璃器皿易脱落破裂，造成人员手臂前段轻微烫伤。")</f>
        <v>蒸馏装置支架腐蚀严重，在进行蒸馏操作时，玻璃器皿易脱落破裂，造成人员手臂前段轻微烫伤。</v>
      </c>
      <c r="E57" s="19" t="s">
        <v>397</v>
      </c>
      <c r="F57" s="20" t="s">
        <v>42</v>
      </c>
      <c r="G57" s="22" t="s">
        <v>64</v>
      </c>
      <c r="H57" s="19" t="s">
        <v>44</v>
      </c>
      <c r="I57" s="19"/>
      <c r="J57" s="19" t="s">
        <v>45</v>
      </c>
      <c r="K57" s="19"/>
      <c r="L57" s="19"/>
      <c r="M57" s="19" t="s">
        <v>232</v>
      </c>
      <c r="N57" s="19" t="s">
        <v>398</v>
      </c>
      <c r="O57" s="19" t="s">
        <v>232</v>
      </c>
      <c r="P57" s="19" t="s">
        <v>234</v>
      </c>
      <c r="Q57" s="19" t="s">
        <v>92</v>
      </c>
      <c r="R57" s="19" t="s">
        <v>399</v>
      </c>
      <c r="S57" s="19"/>
      <c r="T57" s="19" t="s">
        <v>52</v>
      </c>
      <c r="U57" s="19" t="s">
        <v>70</v>
      </c>
      <c r="V57" s="19" t="s">
        <v>71</v>
      </c>
      <c r="W57" s="19" t="s">
        <v>72</v>
      </c>
      <c r="X57" s="19" t="s">
        <v>73</v>
      </c>
      <c r="Y57" s="19" t="s">
        <v>73</v>
      </c>
      <c r="Z57" s="19" t="s">
        <v>400</v>
      </c>
      <c r="AA57" s="19">
        <v>1</v>
      </c>
      <c r="AB57" s="19">
        <v>1</v>
      </c>
      <c r="AC57" s="19" t="s">
        <v>58</v>
      </c>
      <c r="AD57" s="19" t="s">
        <v>234</v>
      </c>
      <c r="AE57" s="19" t="s">
        <v>59</v>
      </c>
      <c r="AF57" s="19" t="s">
        <v>401</v>
      </c>
    </row>
    <row r="58" spans="1:34" customHeight="1" ht="42">
      <c r="A58" s="19">
        <v>50</v>
      </c>
      <c r="B58" s="19" t="s">
        <v>275</v>
      </c>
      <c r="C58" s="19" t="s">
        <v>402</v>
      </c>
      <c r="D58" s="19" t="str">
        <f>HYPERLINK("http://henontech.com/fieldsafety/harzard/harzard_show.php?rid=977&amp;url=harzardrecs.php","一名操作人员，在巡检电铺焦油器过程中因未发现三层平台支架槽钢开焊导致踩空脚部卡入平台缝隙中")</f>
        <v>一名操作人员，在巡检电铺焦油器过程中因未发现三层平台支架槽钢开焊导致踩空脚部卡入平台缝隙中</v>
      </c>
      <c r="E58" s="19" t="s">
        <v>403</v>
      </c>
      <c r="F58" s="20" t="s">
        <v>42</v>
      </c>
      <c r="G58" s="22" t="s">
        <v>64</v>
      </c>
      <c r="H58" s="19" t="s">
        <v>44</v>
      </c>
      <c r="I58" s="19" t="s">
        <v>119</v>
      </c>
      <c r="J58" s="19"/>
      <c r="K58" s="19" t="s">
        <v>216</v>
      </c>
      <c r="L58" s="19" t="s">
        <v>99</v>
      </c>
      <c r="M58" s="19" t="s">
        <v>334</v>
      </c>
      <c r="N58" s="19" t="s">
        <v>404</v>
      </c>
      <c r="O58" s="19" t="s">
        <v>334</v>
      </c>
      <c r="P58" s="19" t="s">
        <v>346</v>
      </c>
      <c r="Q58" s="19" t="s">
        <v>359</v>
      </c>
      <c r="R58" s="19" t="s">
        <v>405</v>
      </c>
      <c r="S58" s="19"/>
      <c r="T58" s="19" t="s">
        <v>52</v>
      </c>
      <c r="U58" s="19" t="s">
        <v>70</v>
      </c>
      <c r="V58" s="19" t="s">
        <v>54</v>
      </c>
      <c r="W58" s="19" t="s">
        <v>81</v>
      </c>
      <c r="X58" s="19"/>
      <c r="Y58" s="19"/>
      <c r="Z58" s="19" t="s">
        <v>406</v>
      </c>
      <c r="AA58" s="19">
        <v>2</v>
      </c>
      <c r="AB58" s="19">
        <v>2</v>
      </c>
      <c r="AC58" s="19" t="s">
        <v>58</v>
      </c>
      <c r="AD58" s="19" t="s">
        <v>346</v>
      </c>
      <c r="AE58" s="19" t="s">
        <v>86</v>
      </c>
      <c r="AF58" s="19"/>
    </row>
    <row r="59" spans="1:34">
      <c r="A59" s="19">
        <v>51</v>
      </c>
      <c r="B59" s="19" t="s">
        <v>275</v>
      </c>
      <c r="C59" s="19" t="s">
        <v>317</v>
      </c>
      <c r="D59" s="19" t="str">
        <f>HYPERLINK("http://henontech.com/fieldsafety/harzard/harzard_show.php?rid=978&amp;url=harzardrecs.php","岗位爬梯没有上下爬梯警示牌，操作工在上爬梯开关阀门时，脚部打滑，造成腿部擦伤事故。")</f>
        <v>岗位爬梯没有上下爬梯警示牌，操作工在上爬梯开关阀门时，脚部打滑，造成腿部擦伤事故。</v>
      </c>
      <c r="E59" s="19" t="s">
        <v>407</v>
      </c>
      <c r="F59" s="20" t="s">
        <v>42</v>
      </c>
      <c r="G59" s="22" t="s">
        <v>64</v>
      </c>
      <c r="H59" s="19" t="s">
        <v>44</v>
      </c>
      <c r="I59" s="19" t="s">
        <v>106</v>
      </c>
      <c r="J59" s="19" t="s">
        <v>45</v>
      </c>
      <c r="K59" s="19" t="s">
        <v>216</v>
      </c>
      <c r="L59" s="19"/>
      <c r="M59" s="19" t="s">
        <v>241</v>
      </c>
      <c r="N59" s="19" t="s">
        <v>282</v>
      </c>
      <c r="O59" s="19" t="s">
        <v>241</v>
      </c>
      <c r="P59" s="19" t="s">
        <v>408</v>
      </c>
      <c r="Q59" s="19" t="s">
        <v>220</v>
      </c>
      <c r="R59" s="19" t="s">
        <v>317</v>
      </c>
      <c r="S59" s="19"/>
      <c r="T59" s="19" t="s">
        <v>52</v>
      </c>
      <c r="U59" s="19" t="s">
        <v>70</v>
      </c>
      <c r="V59" s="19" t="s">
        <v>71</v>
      </c>
      <c r="W59" s="19" t="s">
        <v>72</v>
      </c>
      <c r="X59" s="19" t="s">
        <v>246</v>
      </c>
      <c r="Y59" s="19" t="s">
        <v>246</v>
      </c>
      <c r="Z59" s="19" t="s">
        <v>409</v>
      </c>
      <c r="AA59" s="19">
        <v>1</v>
      </c>
      <c r="AB59" s="19">
        <v>1</v>
      </c>
      <c r="AC59" s="19" t="s">
        <v>58</v>
      </c>
      <c r="AD59" s="19" t="s">
        <v>408</v>
      </c>
      <c r="AE59" s="19" t="s">
        <v>49</v>
      </c>
      <c r="AF59" s="19" t="s">
        <v>410</v>
      </c>
    </row>
    <row r="60" spans="1:34">
      <c r="A60" s="19">
        <v>52</v>
      </c>
      <c r="B60" s="19" t="s">
        <v>275</v>
      </c>
      <c r="C60" s="19" t="s">
        <v>338</v>
      </c>
      <c r="D60" s="19" t="str">
        <f>HYPERLINK("http://henontech.com/fieldsafety/harzard/harzard_show.php?rid=979&amp;url=harzardrecs.php","一名操作工站在木墩上开关阀门，一旦开关阀门用力过度，脚底下木墩会失去平衡，导致操作工轻微手臂拉伤，就医处理后继续上班。")</f>
        <v>一名操作工站在木墩上开关阀门，一旦开关阀门用力过度，脚底下木墩会失去平衡，导致操作工轻微手臂拉伤，就医处理后继续上班。</v>
      </c>
      <c r="E60" s="19" t="s">
        <v>411</v>
      </c>
      <c r="F60" s="20" t="s">
        <v>42</v>
      </c>
      <c r="G60" s="22" t="s">
        <v>64</v>
      </c>
      <c r="H60" s="19" t="s">
        <v>44</v>
      </c>
      <c r="I60" s="19" t="s">
        <v>106</v>
      </c>
      <c r="J60" s="19" t="s">
        <v>45</v>
      </c>
      <c r="K60" s="19" t="s">
        <v>98</v>
      </c>
      <c r="L60" s="19" t="s">
        <v>99</v>
      </c>
      <c r="M60" s="19" t="s">
        <v>334</v>
      </c>
      <c r="N60" s="19" t="s">
        <v>335</v>
      </c>
      <c r="O60" s="19" t="s">
        <v>334</v>
      </c>
      <c r="P60" s="19" t="s">
        <v>346</v>
      </c>
      <c r="Q60" s="19" t="s">
        <v>359</v>
      </c>
      <c r="R60" s="19" t="s">
        <v>412</v>
      </c>
      <c r="S60" s="19" t="s">
        <v>413</v>
      </c>
      <c r="T60" s="19" t="s">
        <v>52</v>
      </c>
      <c r="U60" s="19" t="s">
        <v>70</v>
      </c>
      <c r="V60" s="19" t="s">
        <v>71</v>
      </c>
      <c r="W60" s="19" t="s">
        <v>72</v>
      </c>
      <c r="X60" s="19" t="s">
        <v>56</v>
      </c>
      <c r="Y60" s="19"/>
      <c r="Z60" s="19" t="s">
        <v>414</v>
      </c>
      <c r="AA60" s="19">
        <v>1</v>
      </c>
      <c r="AB60" s="19">
        <v>1</v>
      </c>
      <c r="AC60" s="19" t="s">
        <v>58</v>
      </c>
      <c r="AD60" s="19" t="s">
        <v>346</v>
      </c>
      <c r="AE60" s="19" t="s">
        <v>415</v>
      </c>
      <c r="AF60" s="19"/>
    </row>
    <row r="61" spans="1:34">
      <c r="A61" s="19">
        <v>53</v>
      </c>
      <c r="B61" s="19" t="s">
        <v>275</v>
      </c>
      <c r="C61" s="19" t="s">
        <v>385</v>
      </c>
      <c r="D61" s="19" t="str">
        <f>HYPERLINK("http://henontech.com/fieldsafety/harzard/harzard_show.php?rid=980&amp;url=harzardrecs.php","操作工夜间取样时，因脚踏板狭窄，两侧无护栏，下脚踏板时右脚脚底打滑踩空，造成操作工右脚脚踝扭伤。经医务室冷敷消肿后已无大碍。")</f>
        <v>操作工夜间取样时，因脚踏板狭窄，两侧无护栏，下脚踏板时右脚脚底打滑踩空，造成操作工右脚脚踝扭伤。经医务室冷敷消肿后已无大碍。</v>
      </c>
      <c r="E61" s="19" t="s">
        <v>416</v>
      </c>
      <c r="F61" s="23" t="s">
        <v>96</v>
      </c>
      <c r="G61" s="22" t="s">
        <v>64</v>
      </c>
      <c r="H61" s="19" t="s">
        <v>44</v>
      </c>
      <c r="I61" s="19" t="s">
        <v>119</v>
      </c>
      <c r="J61" s="19" t="s">
        <v>45</v>
      </c>
      <c r="K61" s="19" t="s">
        <v>216</v>
      </c>
      <c r="L61" s="19" t="s">
        <v>99</v>
      </c>
      <c r="M61" s="19" t="s">
        <v>232</v>
      </c>
      <c r="N61" s="19" t="s">
        <v>417</v>
      </c>
      <c r="O61" s="19"/>
      <c r="P61" s="19"/>
      <c r="Q61" s="19"/>
      <c r="R61" s="19" t="s">
        <v>418</v>
      </c>
      <c r="S61" s="19" t="s">
        <v>419</v>
      </c>
      <c r="T61" s="19" t="s">
        <v>52</v>
      </c>
      <c r="U61" s="19" t="s">
        <v>70</v>
      </c>
      <c r="V61" s="19" t="s">
        <v>54</v>
      </c>
      <c r="W61" s="19" t="s">
        <v>81</v>
      </c>
      <c r="X61" s="19"/>
      <c r="Y61" s="19"/>
      <c r="Z61" s="19"/>
      <c r="AA61" s="19">
        <v>0</v>
      </c>
      <c r="AB61" s="19"/>
      <c r="AC61" s="19" t="s">
        <v>103</v>
      </c>
      <c r="AD61" s="19"/>
      <c r="AE61" s="19"/>
      <c r="AF61" s="19"/>
    </row>
    <row r="62" spans="1:34">
      <c r="A62" s="19">
        <v>54</v>
      </c>
      <c r="B62" s="19" t="s">
        <v>275</v>
      </c>
      <c r="C62" s="19" t="s">
        <v>420</v>
      </c>
      <c r="D62" s="19" t="str">
        <f>HYPERLINK("http://henontech.com/fieldsafety/harzard/harzard_show.php?rid=981&amp;url=harzardrecs.php","操作工夜间取样时，因脚踏板狭窄，两侧无护栏，操作工下脚踏板时右脚打滑踩空，造成操作工右脚脚踝扭伤，医务室冷敷消肿后已无大碍。")</f>
        <v>操作工夜间取样时，因脚踏板狭窄，两侧无护栏，操作工下脚踏板时右脚打滑踩空，造成操作工右脚脚踝扭伤，医务室冷敷消肿后已无大碍。</v>
      </c>
      <c r="E62" s="19" t="s">
        <v>421</v>
      </c>
      <c r="F62" s="20" t="s">
        <v>42</v>
      </c>
      <c r="G62" s="22" t="s">
        <v>64</v>
      </c>
      <c r="H62" s="19" t="s">
        <v>44</v>
      </c>
      <c r="I62" s="19" t="s">
        <v>119</v>
      </c>
      <c r="J62" s="19" t="s">
        <v>45</v>
      </c>
      <c r="K62" s="19" t="s">
        <v>216</v>
      </c>
      <c r="L62" s="19" t="s">
        <v>99</v>
      </c>
      <c r="M62" s="19" t="s">
        <v>232</v>
      </c>
      <c r="N62" s="19" t="s">
        <v>417</v>
      </c>
      <c r="O62" s="19" t="s">
        <v>232</v>
      </c>
      <c r="P62" s="19" t="s">
        <v>234</v>
      </c>
      <c r="Q62" s="19" t="s">
        <v>422</v>
      </c>
      <c r="R62" s="19" t="s">
        <v>423</v>
      </c>
      <c r="S62" s="19"/>
      <c r="T62" s="19" t="s">
        <v>52</v>
      </c>
      <c r="U62" s="19" t="s">
        <v>70</v>
      </c>
      <c r="V62" s="19" t="s">
        <v>54</v>
      </c>
      <c r="W62" s="19" t="s">
        <v>81</v>
      </c>
      <c r="X62" s="19" t="s">
        <v>73</v>
      </c>
      <c r="Y62" s="19" t="s">
        <v>73</v>
      </c>
      <c r="Z62" s="19" t="s">
        <v>424</v>
      </c>
      <c r="AA62" s="19">
        <v>1</v>
      </c>
      <c r="AB62" s="19">
        <v>1</v>
      </c>
      <c r="AC62" s="19" t="s">
        <v>58</v>
      </c>
      <c r="AD62" s="19" t="s">
        <v>234</v>
      </c>
      <c r="AE62" s="19" t="s">
        <v>122</v>
      </c>
      <c r="AF62" s="19" t="s">
        <v>425</v>
      </c>
    </row>
    <row r="63" spans="1:34">
      <c r="A63" s="19">
        <v>55</v>
      </c>
      <c r="B63" s="19" t="s">
        <v>86</v>
      </c>
      <c r="C63" s="19" t="s">
        <v>426</v>
      </c>
      <c r="D63" s="19" t="str">
        <f>HYPERLINK("http://henontech.com/fieldsafety/harzard/harzard_show.php?rid=983&amp;url=harzardrecs.php","化产车间西区照明线路老化，线路表皮破损，如遇到阴雨等天气，易造成线路短路，引起放电、着火。")</f>
        <v>化产车间西区照明线路老化，线路表皮破损，如遇到阴雨等天气，易造成线路短路，引起放电、着火。</v>
      </c>
      <c r="E63" s="19" t="s">
        <v>427</v>
      </c>
      <c r="F63" s="20" t="s">
        <v>42</v>
      </c>
      <c r="G63" s="21" t="s">
        <v>43</v>
      </c>
      <c r="H63" s="19" t="s">
        <v>44</v>
      </c>
      <c r="I63" s="19" t="s">
        <v>97</v>
      </c>
      <c r="J63" s="19" t="s">
        <v>175</v>
      </c>
      <c r="K63" s="19" t="s">
        <v>108</v>
      </c>
      <c r="L63" s="19" t="s">
        <v>99</v>
      </c>
      <c r="M63" s="19" t="s">
        <v>334</v>
      </c>
      <c r="N63" s="19" t="s">
        <v>428</v>
      </c>
      <c r="O63" s="19" t="s">
        <v>334</v>
      </c>
      <c r="P63" s="19" t="s">
        <v>346</v>
      </c>
      <c r="Q63" s="19" t="s">
        <v>359</v>
      </c>
      <c r="R63" s="19" t="s">
        <v>429</v>
      </c>
      <c r="S63" s="19" t="s">
        <v>430</v>
      </c>
      <c r="T63" s="19" t="s">
        <v>78</v>
      </c>
      <c r="U63" s="19" t="s">
        <v>70</v>
      </c>
      <c r="V63" s="19" t="s">
        <v>71</v>
      </c>
      <c r="W63" s="19" t="s">
        <v>72</v>
      </c>
      <c r="X63" s="19"/>
      <c r="Y63" s="19"/>
      <c r="Z63" s="19" t="s">
        <v>431</v>
      </c>
      <c r="AA63" s="19">
        <v>1</v>
      </c>
      <c r="AB63" s="19">
        <v>1</v>
      </c>
      <c r="AC63" s="19" t="s">
        <v>58</v>
      </c>
      <c r="AD63" s="19" t="s">
        <v>346</v>
      </c>
      <c r="AE63" s="19" t="s">
        <v>86</v>
      </c>
      <c r="AF63" s="19"/>
    </row>
    <row r="64" spans="1:34">
      <c r="A64" s="19">
        <v>56</v>
      </c>
      <c r="B64" s="19" t="s">
        <v>86</v>
      </c>
      <c r="C64" s="19" t="s">
        <v>351</v>
      </c>
      <c r="D64" s="19" t="str">
        <f>HYPERLINK("http://henontech.com/fieldsafety/harzard/harzard_show.php?rid=985&amp;url=harzardrecs.php","熔硫釜操作室内行车拉线断裂")</f>
        <v>熔硫釜操作室内行车拉线断裂</v>
      </c>
      <c r="E64" s="19" t="s">
        <v>432</v>
      </c>
      <c r="F64" s="23" t="s">
        <v>96</v>
      </c>
      <c r="G64" s="22" t="s">
        <v>64</v>
      </c>
      <c r="H64" s="19" t="s">
        <v>44</v>
      </c>
      <c r="I64" s="19" t="s">
        <v>97</v>
      </c>
      <c r="J64" s="19" t="s">
        <v>45</v>
      </c>
      <c r="K64" s="19" t="s">
        <v>170</v>
      </c>
      <c r="L64" s="19" t="s">
        <v>99</v>
      </c>
      <c r="M64" s="19" t="s">
        <v>334</v>
      </c>
      <c r="N64" s="19" t="s">
        <v>353</v>
      </c>
      <c r="O64" s="19"/>
      <c r="P64" s="19"/>
      <c r="Q64" s="19"/>
      <c r="R64" s="19" t="s">
        <v>433</v>
      </c>
      <c r="S64" s="19" t="s">
        <v>434</v>
      </c>
      <c r="T64" s="19" t="s">
        <v>52</v>
      </c>
      <c r="U64" s="19" t="s">
        <v>89</v>
      </c>
      <c r="V64" s="19" t="s">
        <v>71</v>
      </c>
      <c r="W64" s="19" t="s">
        <v>55</v>
      </c>
      <c r="X64" s="19"/>
      <c r="Y64" s="19"/>
      <c r="Z64" s="19"/>
      <c r="AA64" s="19">
        <v>0</v>
      </c>
      <c r="AB64" s="19"/>
      <c r="AC64" s="19" t="s">
        <v>103</v>
      </c>
      <c r="AD64" s="19"/>
      <c r="AE64" s="19"/>
      <c r="AF64" s="19"/>
    </row>
    <row r="65" spans="1:34" customHeight="1" ht="42">
      <c r="A65" s="19">
        <v>57</v>
      </c>
      <c r="B65" s="19" t="s">
        <v>86</v>
      </c>
      <c r="C65" s="19" t="s">
        <v>385</v>
      </c>
      <c r="D65" s="19" t="str">
        <f>HYPERLINK("http://henontech.com/fieldsafety/harzard/harzard_show.php?rid=986&amp;url=harzardrecs.php","一操作工进行冲洗罐药剂投加操作后，下爬梯过程中由于爬梯踏板太窄无扶手不慎踩空滑倒，造成脚腕轻微扭伤，休息片刻后无碍。")</f>
        <v>一操作工进行冲洗罐药剂投加操作后，下爬梯过程中由于爬梯踏板太窄无扶手不慎踩空滑倒，造成脚腕轻微扭伤，休息片刻后无碍。</v>
      </c>
      <c r="E65" s="19" t="s">
        <v>435</v>
      </c>
      <c r="F65" s="20" t="s">
        <v>42</v>
      </c>
      <c r="G65" s="22" t="s">
        <v>64</v>
      </c>
      <c r="H65" s="19" t="s">
        <v>44</v>
      </c>
      <c r="I65" s="19"/>
      <c r="J65" s="19" t="s">
        <v>45</v>
      </c>
      <c r="K65" s="19" t="s">
        <v>216</v>
      </c>
      <c r="L65" s="19"/>
      <c r="M65" s="19" t="s">
        <v>232</v>
      </c>
      <c r="N65" s="19" t="s">
        <v>233</v>
      </c>
      <c r="O65" s="19" t="s">
        <v>232</v>
      </c>
      <c r="P65" s="19" t="s">
        <v>375</v>
      </c>
      <c r="Q65" s="19" t="s">
        <v>382</v>
      </c>
      <c r="R65" s="19" t="s">
        <v>436</v>
      </c>
      <c r="S65" s="19"/>
      <c r="T65" s="19" t="s">
        <v>52</v>
      </c>
      <c r="U65" s="19" t="s">
        <v>70</v>
      </c>
      <c r="V65" s="19" t="s">
        <v>71</v>
      </c>
      <c r="W65" s="19" t="s">
        <v>72</v>
      </c>
      <c r="X65" s="19" t="s">
        <v>73</v>
      </c>
      <c r="Y65" s="19" t="s">
        <v>73</v>
      </c>
      <c r="Z65" s="19" t="s">
        <v>437</v>
      </c>
      <c r="AA65" s="19">
        <v>2</v>
      </c>
      <c r="AB65" s="19">
        <v>2</v>
      </c>
      <c r="AC65" s="19" t="s">
        <v>58</v>
      </c>
      <c r="AD65" s="19" t="s">
        <v>375</v>
      </c>
      <c r="AE65" s="19" t="s">
        <v>208</v>
      </c>
      <c r="AF65" s="19" t="s">
        <v>380</v>
      </c>
    </row>
    <row r="66" spans="1:34">
      <c r="A66" s="19">
        <v>58</v>
      </c>
      <c r="B66" s="19" t="s">
        <v>86</v>
      </c>
      <c r="C66" s="19" t="s">
        <v>356</v>
      </c>
      <c r="D66" s="19" t="str">
        <f>HYPERLINK("http://henontech.com/fieldsafety/harzard/harzard_show.php?rid=987&amp;url=harzardrecs.php","北脱硫南侧11#消防栓阀头破损，使用10年，如果发生火灾，该消防栓无法正常打开阀门，起不到灭火作用。可能会造成轻微的财产损失。")</f>
        <v>北脱硫南侧11#消防栓阀头破损，使用10年，如果发生火灾，该消防栓无法正常打开阀门，起不到灭火作用。可能会造成轻微的财产损失。</v>
      </c>
      <c r="E66" s="19" t="s">
        <v>438</v>
      </c>
      <c r="F66" s="20" t="s">
        <v>42</v>
      </c>
      <c r="G66" s="21" t="s">
        <v>43</v>
      </c>
      <c r="H66" s="19" t="s">
        <v>44</v>
      </c>
      <c r="I66" s="19" t="s">
        <v>97</v>
      </c>
      <c r="J66" s="19" t="s">
        <v>45</v>
      </c>
      <c r="K66" s="19" t="s">
        <v>108</v>
      </c>
      <c r="L66" s="19"/>
      <c r="M66" s="19" t="s">
        <v>334</v>
      </c>
      <c r="N66" s="19" t="s">
        <v>346</v>
      </c>
      <c r="O66" s="19" t="s">
        <v>334</v>
      </c>
      <c r="P66" s="19" t="s">
        <v>346</v>
      </c>
      <c r="Q66" s="19" t="s">
        <v>359</v>
      </c>
      <c r="R66" s="19" t="s">
        <v>439</v>
      </c>
      <c r="S66" s="19"/>
      <c r="T66" s="19" t="s">
        <v>78</v>
      </c>
      <c r="U66" s="19" t="s">
        <v>79</v>
      </c>
      <c r="V66" s="19" t="s">
        <v>71</v>
      </c>
      <c r="W66" s="19" t="s">
        <v>81</v>
      </c>
      <c r="X66" s="19"/>
      <c r="Y66" s="19"/>
      <c r="Z66" s="19" t="s">
        <v>440</v>
      </c>
      <c r="AA66" s="19">
        <v>1</v>
      </c>
      <c r="AB66" s="19">
        <v>1</v>
      </c>
      <c r="AC66" s="19" t="s">
        <v>58</v>
      </c>
      <c r="AD66" s="19" t="s">
        <v>346</v>
      </c>
      <c r="AE66" s="19" t="s">
        <v>86</v>
      </c>
      <c r="AF66" s="19"/>
    </row>
    <row r="67" spans="1:34">
      <c r="A67" s="19">
        <v>59</v>
      </c>
      <c r="B67" s="19" t="s">
        <v>86</v>
      </c>
      <c r="C67" s="19" t="s">
        <v>356</v>
      </c>
      <c r="D67" s="19" t="str">
        <f>HYPERLINK("http://henontech.com/fieldsafety/harzard/harzard_show.php?rid=988&amp;url=harzardrecs.php","一名维修工在熔硫釜现场更换蒸汽管线，未佩戴高温手套和护目镜，蒸汽管线阀门一旦泄露蒸汽，作业人员可能造成手臂灼烫伤害。")</f>
        <v>一名维修工在熔硫釜现场更换蒸汽管线，未佩戴高温手套和护目镜，蒸汽管线阀门一旦泄露蒸汽，作业人员可能造成手臂灼烫伤害。</v>
      </c>
      <c r="E67" s="19" t="s">
        <v>441</v>
      </c>
      <c r="F67" s="20" t="s">
        <v>42</v>
      </c>
      <c r="G67" s="24" t="s">
        <v>251</v>
      </c>
      <c r="H67" s="19" t="s">
        <v>44</v>
      </c>
      <c r="I67" s="19" t="s">
        <v>106</v>
      </c>
      <c r="J67" s="19" t="s">
        <v>182</v>
      </c>
      <c r="K67" s="19" t="s">
        <v>170</v>
      </c>
      <c r="L67" s="19" t="s">
        <v>99</v>
      </c>
      <c r="M67" s="19" t="s">
        <v>334</v>
      </c>
      <c r="N67" s="19" t="s">
        <v>442</v>
      </c>
      <c r="O67" s="19" t="s">
        <v>334</v>
      </c>
      <c r="P67" s="19" t="s">
        <v>346</v>
      </c>
      <c r="Q67" s="19" t="s">
        <v>359</v>
      </c>
      <c r="R67" s="19" t="s">
        <v>443</v>
      </c>
      <c r="S67" s="19"/>
      <c r="T67" s="19" t="s">
        <v>52</v>
      </c>
      <c r="U67" s="19" t="s">
        <v>70</v>
      </c>
      <c r="V67" s="19" t="s">
        <v>54</v>
      </c>
      <c r="W67" s="19" t="s">
        <v>81</v>
      </c>
      <c r="X67" s="19" t="s">
        <v>444</v>
      </c>
      <c r="Y67" s="19" t="s">
        <v>444</v>
      </c>
      <c r="Z67" s="19" t="s">
        <v>445</v>
      </c>
      <c r="AA67" s="19">
        <v>1</v>
      </c>
      <c r="AB67" s="19">
        <v>1</v>
      </c>
      <c r="AC67" s="19" t="s">
        <v>58</v>
      </c>
      <c r="AD67" s="19" t="s">
        <v>346</v>
      </c>
      <c r="AE67" s="19" t="s">
        <v>86</v>
      </c>
      <c r="AF67" s="19" t="s">
        <v>446</v>
      </c>
    </row>
    <row r="68" spans="1:34">
      <c r="A68" s="19">
        <v>60</v>
      </c>
      <c r="B68" s="19" t="s">
        <v>86</v>
      </c>
      <c r="C68" s="19" t="s">
        <v>447</v>
      </c>
      <c r="D68" s="19" t="str">
        <f>HYPERLINK("http://henontech.com/fieldsafety/harzard/harzard_show.php?rid=989&amp;url=harzardrecs.php","两盐门口地沟盖板破损，如果有人从此路过，坠入0.5米深的地沟，造成右小腿划伤。")</f>
        <v>两盐门口地沟盖板破损，如果有人从此路过，坠入0.5米深的地沟，造成右小腿划伤。</v>
      </c>
      <c r="E68" s="19" t="s">
        <v>448</v>
      </c>
      <c r="F68" s="20" t="s">
        <v>42</v>
      </c>
      <c r="G68" s="22" t="s">
        <v>64</v>
      </c>
      <c r="H68" s="19" t="s">
        <v>44</v>
      </c>
      <c r="I68" s="19" t="s">
        <v>106</v>
      </c>
      <c r="J68" s="19" t="s">
        <v>45</v>
      </c>
      <c r="K68" s="19" t="s">
        <v>216</v>
      </c>
      <c r="L68" s="19"/>
      <c r="M68" s="19" t="s">
        <v>334</v>
      </c>
      <c r="N68" s="19" t="s">
        <v>449</v>
      </c>
      <c r="O68" s="19" t="s">
        <v>334</v>
      </c>
      <c r="P68" s="19" t="s">
        <v>450</v>
      </c>
      <c r="Q68" s="19" t="s">
        <v>451</v>
      </c>
      <c r="R68" s="19" t="s">
        <v>452</v>
      </c>
      <c r="S68" s="19"/>
      <c r="T68" s="19" t="s">
        <v>52</v>
      </c>
      <c r="U68" s="19" t="s">
        <v>70</v>
      </c>
      <c r="V68" s="19" t="s">
        <v>71</v>
      </c>
      <c r="W68" s="19" t="s">
        <v>72</v>
      </c>
      <c r="X68" s="19" t="s">
        <v>246</v>
      </c>
      <c r="Y68" s="19" t="s">
        <v>246</v>
      </c>
      <c r="Z68" s="19" t="s">
        <v>453</v>
      </c>
      <c r="AA68" s="19">
        <v>1</v>
      </c>
      <c r="AB68" s="19">
        <v>1</v>
      </c>
      <c r="AC68" s="19" t="s">
        <v>58</v>
      </c>
      <c r="AD68" s="19" t="s">
        <v>450</v>
      </c>
      <c r="AE68" s="19" t="s">
        <v>49</v>
      </c>
      <c r="AF68" s="19"/>
    </row>
    <row r="69" spans="1:34">
      <c r="A69" s="19">
        <v>61</v>
      </c>
      <c r="B69" s="19" t="s">
        <v>86</v>
      </c>
      <c r="C69" s="19" t="s">
        <v>351</v>
      </c>
      <c r="D69" s="19" t="str">
        <f>HYPERLINK("http://henontech.com/fieldsafety/harzard/harzard_show.php?rid=990&amp;url=harzardrecs.php","南脱硫A循环槽顶部部分开焊，使用9年，如果人员巡检到此处，手扶护栏开阀门，不慎坠落，造成腿部骨折，住院治疗3个月，")</f>
        <v>南脱硫A循环槽顶部部分开焊，使用9年，如果人员巡检到此处，手扶护栏开阀门，不慎坠落，造成腿部骨折，住院治疗3个月，</v>
      </c>
      <c r="E69" s="19" t="s">
        <v>454</v>
      </c>
      <c r="F69" s="20" t="s">
        <v>42</v>
      </c>
      <c r="G69" s="22" t="s">
        <v>64</v>
      </c>
      <c r="H69" s="19" t="s">
        <v>44</v>
      </c>
      <c r="I69" s="19" t="s">
        <v>119</v>
      </c>
      <c r="J69" s="19" t="s">
        <v>45</v>
      </c>
      <c r="K69" s="19" t="s">
        <v>108</v>
      </c>
      <c r="L69" s="19"/>
      <c r="M69" s="19" t="s">
        <v>334</v>
      </c>
      <c r="N69" s="19" t="s">
        <v>455</v>
      </c>
      <c r="O69" s="19" t="s">
        <v>334</v>
      </c>
      <c r="P69" s="19" t="s">
        <v>456</v>
      </c>
      <c r="Q69" s="19" t="s">
        <v>451</v>
      </c>
      <c r="R69" s="19" t="s">
        <v>457</v>
      </c>
      <c r="S69" s="19"/>
      <c r="T69" s="19" t="s">
        <v>52</v>
      </c>
      <c r="U69" s="19" t="s">
        <v>89</v>
      </c>
      <c r="V69" s="19" t="s">
        <v>54</v>
      </c>
      <c r="W69" s="19" t="s">
        <v>72</v>
      </c>
      <c r="X69" s="19" t="s">
        <v>90</v>
      </c>
      <c r="Y69" s="19"/>
      <c r="Z69" s="19" t="s">
        <v>458</v>
      </c>
      <c r="AA69" s="19">
        <v>1</v>
      </c>
      <c r="AB69" s="19">
        <v>1</v>
      </c>
      <c r="AC69" s="19" t="s">
        <v>58</v>
      </c>
      <c r="AD69" s="19" t="s">
        <v>456</v>
      </c>
      <c r="AE69" s="19" t="s">
        <v>49</v>
      </c>
      <c r="AF69" s="19"/>
    </row>
    <row r="70" spans="1:34">
      <c r="A70" s="19">
        <v>62</v>
      </c>
      <c r="B70" s="19" t="s">
        <v>86</v>
      </c>
      <c r="C70" s="19" t="s">
        <v>459</v>
      </c>
      <c r="D70" s="19" t="str">
        <f>HYPERLINK("http://henontech.com/fieldsafety/harzard/harzard_show.php?rid=991&amp;url=harzardrecs.php","清水池南侧移动爬梯两侧无扶手，地面不平整，爬梯不稳固，一名操作工在夜间擦拭池顶水泵时，不慎滑跌，造成右脚脚踝扭伤红肿，皮肤淤青，去医务室冷敷包扎后休假3天")</f>
        <v>清水池南侧移动爬梯两侧无扶手，地面不平整，爬梯不稳固，一名操作工在夜间擦拭池顶水泵时，不慎滑跌，造成右脚脚踝扭伤红肿，皮肤淤青，去医务室冷敷包扎后休假3天</v>
      </c>
      <c r="E70" s="19" t="s">
        <v>460</v>
      </c>
      <c r="F70" s="20" t="s">
        <v>42</v>
      </c>
      <c r="G70" s="22" t="s">
        <v>64</v>
      </c>
      <c r="H70" s="19" t="s">
        <v>44</v>
      </c>
      <c r="I70" s="19" t="s">
        <v>106</v>
      </c>
      <c r="J70" s="19" t="s">
        <v>175</v>
      </c>
      <c r="K70" s="19" t="s">
        <v>108</v>
      </c>
      <c r="L70" s="19" t="s">
        <v>99</v>
      </c>
      <c r="M70" s="19" t="s">
        <v>232</v>
      </c>
      <c r="N70" s="19" t="s">
        <v>461</v>
      </c>
      <c r="O70" s="19" t="s">
        <v>232</v>
      </c>
      <c r="P70" s="19" t="s">
        <v>234</v>
      </c>
      <c r="Q70" s="19" t="s">
        <v>394</v>
      </c>
      <c r="R70" s="19" t="s">
        <v>462</v>
      </c>
      <c r="S70" s="19"/>
      <c r="T70" s="19" t="s">
        <v>52</v>
      </c>
      <c r="U70" s="19" t="s">
        <v>70</v>
      </c>
      <c r="V70" s="19" t="s">
        <v>54</v>
      </c>
      <c r="W70" s="19" t="s">
        <v>81</v>
      </c>
      <c r="X70" s="19" t="s">
        <v>73</v>
      </c>
      <c r="Y70" s="19" t="s">
        <v>73</v>
      </c>
      <c r="Z70" s="19" t="s">
        <v>463</v>
      </c>
      <c r="AA70" s="19">
        <v>1</v>
      </c>
      <c r="AB70" s="19">
        <v>1</v>
      </c>
      <c r="AC70" s="19" t="s">
        <v>58</v>
      </c>
      <c r="AD70" s="19" t="s">
        <v>234</v>
      </c>
      <c r="AE70" s="19" t="s">
        <v>464</v>
      </c>
      <c r="AF70" s="19" t="s">
        <v>380</v>
      </c>
    </row>
    <row r="71" spans="1:34">
      <c r="A71" s="19">
        <v>63</v>
      </c>
      <c r="B71" s="19" t="s">
        <v>86</v>
      </c>
      <c r="C71" s="19" t="s">
        <v>402</v>
      </c>
      <c r="D71" s="19" t="str">
        <f>HYPERLINK("http://henontech.com/fieldsafety/harzard/harzard_show.php?rid=992&amp;url=harzardrecs.php","北风机1#电捕焦油器顶层平台底板缺失，假如操作人员经过失足踩空，腿部陷落，造成腿部划伤，去医务室简单处理后正常上班，未损工")</f>
        <v>北风机1#电捕焦油器顶层平台底板缺失，假如操作人员经过失足踩空，腿部陷落，造成腿部划伤，去医务室简单处理后正常上班，未损工</v>
      </c>
      <c r="E71" s="19" t="s">
        <v>465</v>
      </c>
      <c r="F71" s="20" t="s">
        <v>42</v>
      </c>
      <c r="G71" s="21" t="s">
        <v>43</v>
      </c>
      <c r="H71" s="19" t="s">
        <v>44</v>
      </c>
      <c r="I71" s="19" t="s">
        <v>97</v>
      </c>
      <c r="J71" s="19" t="s">
        <v>45</v>
      </c>
      <c r="K71" s="19" t="s">
        <v>108</v>
      </c>
      <c r="L71" s="19" t="s">
        <v>99</v>
      </c>
      <c r="M71" s="19" t="s">
        <v>334</v>
      </c>
      <c r="N71" s="19" t="s">
        <v>466</v>
      </c>
      <c r="O71" s="19" t="s">
        <v>334</v>
      </c>
      <c r="P71" s="19" t="s">
        <v>346</v>
      </c>
      <c r="Q71" s="19" t="s">
        <v>451</v>
      </c>
      <c r="R71" s="19" t="s">
        <v>467</v>
      </c>
      <c r="S71" s="19"/>
      <c r="T71" s="19" t="s">
        <v>52</v>
      </c>
      <c r="U71" s="19" t="s">
        <v>70</v>
      </c>
      <c r="V71" s="19" t="s">
        <v>71</v>
      </c>
      <c r="W71" s="19" t="s">
        <v>72</v>
      </c>
      <c r="X71" s="19"/>
      <c r="Y71" s="19"/>
      <c r="Z71" s="19" t="s">
        <v>468</v>
      </c>
      <c r="AA71" s="19">
        <v>1</v>
      </c>
      <c r="AB71" s="19">
        <v>1</v>
      </c>
      <c r="AC71" s="19" t="s">
        <v>58</v>
      </c>
      <c r="AD71" s="19" t="s">
        <v>346</v>
      </c>
      <c r="AE71" s="19" t="s">
        <v>49</v>
      </c>
      <c r="AF71" s="19"/>
    </row>
    <row r="72" spans="1:34">
      <c r="A72" s="19">
        <v>64</v>
      </c>
      <c r="B72" s="19" t="s">
        <v>86</v>
      </c>
      <c r="C72" s="19" t="s">
        <v>469</v>
      </c>
      <c r="D72" s="19" t="str">
        <f>HYPERLINK("http://henontech.com/fieldsafety/harzard/harzard_show.php?rid=993&amp;url=harzardrecs.php","北风机废气回收洗涤塔无护笼，如果一人在爬爬梯时手部未抓牢，可能造成人员从爬梯坠落腿部骨折，住院三个月后出院。")</f>
        <v>北风机废气回收洗涤塔无护笼，如果一人在爬爬梯时手部未抓牢，可能造成人员从爬梯坠落腿部骨折，住院三个月后出院。</v>
      </c>
      <c r="E72" s="19" t="s">
        <v>470</v>
      </c>
      <c r="F72" s="20" t="s">
        <v>42</v>
      </c>
      <c r="G72" s="22" t="s">
        <v>64</v>
      </c>
      <c r="H72" s="19" t="s">
        <v>44</v>
      </c>
      <c r="I72" s="19" t="s">
        <v>97</v>
      </c>
      <c r="J72" s="19" t="s">
        <v>45</v>
      </c>
      <c r="K72" s="19" t="s">
        <v>108</v>
      </c>
      <c r="L72" s="19" t="s">
        <v>99</v>
      </c>
      <c r="M72" s="19" t="s">
        <v>334</v>
      </c>
      <c r="N72" s="19" t="s">
        <v>471</v>
      </c>
      <c r="O72" s="19" t="s">
        <v>334</v>
      </c>
      <c r="P72" s="19" t="s">
        <v>472</v>
      </c>
      <c r="Q72" s="19" t="s">
        <v>473</v>
      </c>
      <c r="R72" s="19" t="s">
        <v>474</v>
      </c>
      <c r="S72" s="19"/>
      <c r="T72" s="19" t="s">
        <v>52</v>
      </c>
      <c r="U72" s="19" t="s">
        <v>89</v>
      </c>
      <c r="V72" s="19" t="s">
        <v>71</v>
      </c>
      <c r="W72" s="19" t="s">
        <v>55</v>
      </c>
      <c r="X72" s="19"/>
      <c r="Y72" s="19"/>
      <c r="Z72" s="19" t="s">
        <v>475</v>
      </c>
      <c r="AA72" s="19">
        <v>1</v>
      </c>
      <c r="AB72" s="19">
        <v>1</v>
      </c>
      <c r="AC72" s="19" t="s">
        <v>58</v>
      </c>
      <c r="AD72" s="19" t="s">
        <v>472</v>
      </c>
      <c r="AE72" s="19" t="s">
        <v>49</v>
      </c>
      <c r="AF72" s="19"/>
    </row>
    <row r="73" spans="1:34">
      <c r="A73" s="19">
        <v>65</v>
      </c>
      <c r="B73" s="19" t="s">
        <v>86</v>
      </c>
      <c r="C73" s="19" t="s">
        <v>476</v>
      </c>
      <c r="D73" s="19" t="str">
        <f>HYPERLINK("http://henontech.com/fieldsafety/harzard/harzard_show.php?rid=994&amp;url=harzardrecs.php","粗苯操作室北侧管架上有废旧铝皮，如遇大风时铝皮坠落造成一名巡检职工头部轻微擦伤。")</f>
        <v>粗苯操作室北侧管架上有废旧铝皮，如遇大风时铝皮坠落造成一名巡检职工头部轻微擦伤。</v>
      </c>
      <c r="E73" s="19" t="s">
        <v>477</v>
      </c>
      <c r="F73" s="20" t="s">
        <v>42</v>
      </c>
      <c r="G73" s="22" t="s">
        <v>64</v>
      </c>
      <c r="H73" s="19" t="s">
        <v>44</v>
      </c>
      <c r="I73" s="19" t="s">
        <v>97</v>
      </c>
      <c r="J73" s="19" t="s">
        <v>175</v>
      </c>
      <c r="K73" s="19" t="s">
        <v>108</v>
      </c>
      <c r="L73" s="19" t="s">
        <v>99</v>
      </c>
      <c r="M73" s="19" t="s">
        <v>334</v>
      </c>
      <c r="N73" s="19" t="s">
        <v>478</v>
      </c>
      <c r="O73" s="19" t="s">
        <v>334</v>
      </c>
      <c r="P73" s="19" t="s">
        <v>346</v>
      </c>
      <c r="Q73" s="19" t="s">
        <v>451</v>
      </c>
      <c r="R73" s="19" t="s">
        <v>479</v>
      </c>
      <c r="S73" s="19"/>
      <c r="T73" s="19" t="s">
        <v>52</v>
      </c>
      <c r="U73" s="19" t="s">
        <v>70</v>
      </c>
      <c r="V73" s="19" t="s">
        <v>54</v>
      </c>
      <c r="W73" s="19" t="s">
        <v>81</v>
      </c>
      <c r="X73" s="19"/>
      <c r="Y73" s="19"/>
      <c r="Z73" s="19" t="s">
        <v>480</v>
      </c>
      <c r="AA73" s="19">
        <v>1</v>
      </c>
      <c r="AB73" s="19">
        <v>1</v>
      </c>
      <c r="AC73" s="19" t="s">
        <v>58</v>
      </c>
      <c r="AD73" s="19" t="s">
        <v>346</v>
      </c>
      <c r="AE73" s="19" t="s">
        <v>49</v>
      </c>
      <c r="AF73" s="19"/>
    </row>
    <row r="74" spans="1:34">
      <c r="A74" s="19">
        <v>66</v>
      </c>
      <c r="B74" s="19" t="s">
        <v>86</v>
      </c>
      <c r="C74" s="19" t="s">
        <v>469</v>
      </c>
      <c r="D74" s="19" t="str">
        <f>HYPERLINK("http://henontech.com/fieldsafety/harzard/harzard_show.php?rid=995&amp;url=harzardrecs.php","风机房内小回流爬梯平台未加护栏，如果操作人员在开关阀门时用力过大，可能有掉下来的风险，可能会造成人员脚腕扭伤或腿部创伤，轻微人身伤害。")</f>
        <v>风机房内小回流爬梯平台未加护栏，如果操作人员在开关阀门时用力过大，可能有掉下来的风险，可能会造成人员脚腕扭伤或腿部创伤，轻微人身伤害。</v>
      </c>
      <c r="E74" s="19" t="s">
        <v>481</v>
      </c>
      <c r="F74" s="20" t="s">
        <v>42</v>
      </c>
      <c r="G74" s="22" t="s">
        <v>64</v>
      </c>
      <c r="H74" s="19" t="s">
        <v>44</v>
      </c>
      <c r="I74" s="19" t="s">
        <v>106</v>
      </c>
      <c r="J74" s="19" t="s">
        <v>45</v>
      </c>
      <c r="K74" s="19" t="s">
        <v>170</v>
      </c>
      <c r="L74" s="19" t="s">
        <v>99</v>
      </c>
      <c r="M74" s="19" t="s">
        <v>334</v>
      </c>
      <c r="N74" s="19" t="s">
        <v>482</v>
      </c>
      <c r="O74" s="19" t="s">
        <v>334</v>
      </c>
      <c r="P74" s="19" t="s">
        <v>472</v>
      </c>
      <c r="Q74" s="19" t="s">
        <v>451</v>
      </c>
      <c r="R74" s="19" t="s">
        <v>483</v>
      </c>
      <c r="S74" s="19"/>
      <c r="T74" s="19" t="s">
        <v>52</v>
      </c>
      <c r="U74" s="19" t="s">
        <v>70</v>
      </c>
      <c r="V74" s="19" t="s">
        <v>71</v>
      </c>
      <c r="W74" s="19" t="s">
        <v>72</v>
      </c>
      <c r="X74" s="19" t="s">
        <v>246</v>
      </c>
      <c r="Y74" s="19"/>
      <c r="Z74" s="19" t="s">
        <v>484</v>
      </c>
      <c r="AA74" s="19">
        <v>1</v>
      </c>
      <c r="AB74" s="19">
        <v>1</v>
      </c>
      <c r="AC74" s="19" t="s">
        <v>58</v>
      </c>
      <c r="AD74" s="19" t="s">
        <v>472</v>
      </c>
      <c r="AE74" s="19" t="s">
        <v>485</v>
      </c>
      <c r="AF74" s="19"/>
    </row>
    <row r="75" spans="1:34">
      <c r="A75" s="19">
        <v>67</v>
      </c>
      <c r="B75" s="19" t="s">
        <v>86</v>
      </c>
      <c r="C75" s="19" t="s">
        <v>486</v>
      </c>
      <c r="D75" s="19" t="str">
        <f>HYPERLINK("http://henontech.com/fieldsafety/harzard/harzard_show.php?rid=996&amp;url=harzardrecs.php","一名操作工将要在冷却罐顶部开关阀门作业，垂直爬梯未悬挂警示标示，作业人员一旦未抓牢爬梯，造成人员坠落，导致尾骨断裂，就医治疗，损工半年！")</f>
        <v>一名操作工将要在冷却罐顶部开关阀门作业，垂直爬梯未悬挂警示标示，作业人员一旦未抓牢爬梯，造成人员坠落，导致尾骨断裂，就医治疗，损工半年！</v>
      </c>
      <c r="E75" s="19" t="s">
        <v>487</v>
      </c>
      <c r="F75" s="20" t="s">
        <v>42</v>
      </c>
      <c r="G75" s="21" t="s">
        <v>43</v>
      </c>
      <c r="H75" s="19" t="s">
        <v>44</v>
      </c>
      <c r="I75" s="19" t="s">
        <v>97</v>
      </c>
      <c r="J75" s="19" t="s">
        <v>45</v>
      </c>
      <c r="K75" s="19" t="s">
        <v>98</v>
      </c>
      <c r="L75" s="19" t="s">
        <v>99</v>
      </c>
      <c r="M75" s="19" t="s">
        <v>334</v>
      </c>
      <c r="N75" s="19" t="s">
        <v>488</v>
      </c>
      <c r="O75" s="19" t="s">
        <v>334</v>
      </c>
      <c r="P75" s="19" t="s">
        <v>346</v>
      </c>
      <c r="Q75" s="19" t="s">
        <v>122</v>
      </c>
      <c r="R75" s="19" t="s">
        <v>489</v>
      </c>
      <c r="S75" s="19"/>
      <c r="T75" s="19" t="s">
        <v>52</v>
      </c>
      <c r="U75" s="19" t="s">
        <v>89</v>
      </c>
      <c r="V75" s="19" t="s">
        <v>71</v>
      </c>
      <c r="W75" s="19" t="s">
        <v>55</v>
      </c>
      <c r="X75" s="19" t="s">
        <v>90</v>
      </c>
      <c r="Y75" s="19" t="s">
        <v>90</v>
      </c>
      <c r="Z75" s="19" t="s">
        <v>490</v>
      </c>
      <c r="AA75" s="19">
        <v>1</v>
      </c>
      <c r="AB75" s="19">
        <v>1</v>
      </c>
      <c r="AC75" s="19" t="s">
        <v>58</v>
      </c>
      <c r="AD75" s="19" t="s">
        <v>346</v>
      </c>
      <c r="AE75" s="19" t="s">
        <v>244</v>
      </c>
      <c r="AF75" s="19"/>
    </row>
    <row r="76" spans="1:34">
      <c r="A76" s="19">
        <v>68</v>
      </c>
      <c r="B76" s="19" t="s">
        <v>49</v>
      </c>
      <c r="C76" s="19" t="s">
        <v>491</v>
      </c>
      <c r="D76" s="19" t="str">
        <f>HYPERLINK("http://henontech.com/fieldsafety/harzard/harzard_show.php?rid=997&amp;url=harzardrecs.php","冷凝夜循环罐平台护栏部分缺失，假如夜间操作工在观察液位时，一旦脚步踩空，会造成脚扭伤。")</f>
        <v>冷凝夜循环罐平台护栏部分缺失，假如夜间操作工在观察液位时，一旦脚步踩空，会造成脚扭伤。</v>
      </c>
      <c r="E76" s="19" t="s">
        <v>492</v>
      </c>
      <c r="F76" s="20" t="s">
        <v>42</v>
      </c>
      <c r="G76" s="22" t="s">
        <v>64</v>
      </c>
      <c r="H76" s="19" t="s">
        <v>44</v>
      </c>
      <c r="I76" s="19"/>
      <c r="J76" s="19" t="s">
        <v>182</v>
      </c>
      <c r="K76" s="19" t="s">
        <v>98</v>
      </c>
      <c r="L76" s="19" t="s">
        <v>99</v>
      </c>
      <c r="M76" s="19" t="s">
        <v>334</v>
      </c>
      <c r="N76" s="19" t="s">
        <v>493</v>
      </c>
      <c r="O76" s="19" t="s">
        <v>334</v>
      </c>
      <c r="P76" s="19" t="s">
        <v>346</v>
      </c>
      <c r="Q76" s="19" t="s">
        <v>451</v>
      </c>
      <c r="R76" s="19" t="s">
        <v>494</v>
      </c>
      <c r="S76" s="19"/>
      <c r="T76" s="19" t="s">
        <v>52</v>
      </c>
      <c r="U76" s="19" t="s">
        <v>89</v>
      </c>
      <c r="V76" s="19" t="s">
        <v>54</v>
      </c>
      <c r="W76" s="19" t="s">
        <v>72</v>
      </c>
      <c r="X76" s="19"/>
      <c r="Y76" s="19"/>
      <c r="Z76" s="19" t="s">
        <v>495</v>
      </c>
      <c r="AA76" s="19">
        <v>1</v>
      </c>
      <c r="AB76" s="19">
        <v>1</v>
      </c>
      <c r="AC76" s="19" t="s">
        <v>58</v>
      </c>
      <c r="AD76" s="19" t="s">
        <v>346</v>
      </c>
      <c r="AE76" s="19" t="s">
        <v>49</v>
      </c>
      <c r="AF76" s="19"/>
    </row>
    <row r="77" spans="1:34" customHeight="1" ht="42">
      <c r="A77" s="19">
        <v>69</v>
      </c>
      <c r="B77" s="19" t="s">
        <v>49</v>
      </c>
      <c r="C77" s="19" t="s">
        <v>496</v>
      </c>
      <c r="D77" s="19" t="str">
        <f>HYPERLINK("http://henontech.com/fieldsafety/harzard/harzard_show.php?rid=998&amp;url=harzardrecs.php","外来施工人员1人独自进行高处作业，戴耐高温手套并手持工具、线缆攀爬移动脚手架至3米高处，如果手抓不牢会发生坠落伤害。")</f>
        <v>外来施工人员1人独自进行高处作业，戴耐高温手套并手持工具、线缆攀爬移动脚手架至3米高处，如果手抓不牢会发生坠落伤害。</v>
      </c>
      <c r="E77" s="19" t="s">
        <v>497</v>
      </c>
      <c r="F77" s="20" t="s">
        <v>42</v>
      </c>
      <c r="G77" s="24" t="s">
        <v>251</v>
      </c>
      <c r="H77" s="19" t="s">
        <v>44</v>
      </c>
      <c r="I77" s="19" t="s">
        <v>106</v>
      </c>
      <c r="J77" s="19" t="s">
        <v>45</v>
      </c>
      <c r="K77" s="19" t="s">
        <v>216</v>
      </c>
      <c r="L77" s="19"/>
      <c r="M77" s="19" t="s">
        <v>334</v>
      </c>
      <c r="N77" s="19" t="s">
        <v>498</v>
      </c>
      <c r="O77" s="19" t="s">
        <v>334</v>
      </c>
      <c r="P77" s="19" t="s">
        <v>346</v>
      </c>
      <c r="Q77" s="19" t="s">
        <v>451</v>
      </c>
      <c r="R77" s="19" t="s">
        <v>499</v>
      </c>
      <c r="S77" s="19"/>
      <c r="T77" s="19" t="s">
        <v>52</v>
      </c>
      <c r="U77" s="19" t="s">
        <v>89</v>
      </c>
      <c r="V77" s="19" t="s">
        <v>54</v>
      </c>
      <c r="W77" s="19" t="s">
        <v>72</v>
      </c>
      <c r="X77" s="19"/>
      <c r="Y77" s="19"/>
      <c r="Z77" s="19" t="s">
        <v>500</v>
      </c>
      <c r="AA77" s="19">
        <v>2</v>
      </c>
      <c r="AB77" s="19">
        <v>1</v>
      </c>
      <c r="AC77" s="19" t="s">
        <v>58</v>
      </c>
      <c r="AD77" s="19" t="s">
        <v>346</v>
      </c>
      <c r="AE77" s="19" t="s">
        <v>362</v>
      </c>
      <c r="AF77" s="19"/>
    </row>
    <row r="78" spans="1:34" customHeight="1" ht="42">
      <c r="A78" s="19">
        <v>70</v>
      </c>
      <c r="B78" s="19" t="s">
        <v>49</v>
      </c>
      <c r="C78" s="19" t="s">
        <v>501</v>
      </c>
      <c r="D78" s="19" t="str">
        <f>HYPERLINK("http://henontech.com/fieldsafety/harzard/harzard_show.php?rid=999&amp;url=harzardrecs.php","彩钢房顶部腐蚀严重，如果铁皮 角铁坠落可能会砸伤操作人员")</f>
        <v>彩钢房顶部腐蚀严重，如果铁皮 角铁坠落可能会砸伤操作人员</v>
      </c>
      <c r="E78" s="19" t="s">
        <v>502</v>
      </c>
      <c r="F78" s="20" t="s">
        <v>42</v>
      </c>
      <c r="G78" s="21" t="s">
        <v>43</v>
      </c>
      <c r="H78" s="19" t="s">
        <v>44</v>
      </c>
      <c r="I78" s="19"/>
      <c r="J78" s="19"/>
      <c r="K78" s="19" t="s">
        <v>176</v>
      </c>
      <c r="L78" s="19"/>
      <c r="M78" s="19" t="s">
        <v>334</v>
      </c>
      <c r="N78" s="19" t="s">
        <v>503</v>
      </c>
      <c r="O78" s="19" t="s">
        <v>334</v>
      </c>
      <c r="P78" s="19" t="s">
        <v>346</v>
      </c>
      <c r="Q78" s="19" t="s">
        <v>451</v>
      </c>
      <c r="R78" s="19" t="s">
        <v>504</v>
      </c>
      <c r="S78" s="19"/>
      <c r="T78" s="19" t="s">
        <v>52</v>
      </c>
      <c r="U78" s="19" t="s">
        <v>70</v>
      </c>
      <c r="V78" s="19" t="s">
        <v>54</v>
      </c>
      <c r="W78" s="19" t="s">
        <v>81</v>
      </c>
      <c r="X78" s="19"/>
      <c r="Y78" s="19"/>
      <c r="Z78" s="19" t="s">
        <v>505</v>
      </c>
      <c r="AA78" s="19">
        <v>2</v>
      </c>
      <c r="AB78" s="19">
        <v>1</v>
      </c>
      <c r="AC78" s="19" t="s">
        <v>58</v>
      </c>
      <c r="AD78" s="19" t="s">
        <v>346</v>
      </c>
      <c r="AE78" s="19" t="s">
        <v>244</v>
      </c>
      <c r="AF78" s="19"/>
    </row>
    <row r="79" spans="1:34" customHeight="1" ht="42">
      <c r="A79" s="19">
        <v>71</v>
      </c>
      <c r="B79" s="19" t="s">
        <v>49</v>
      </c>
      <c r="C79" s="19" t="s">
        <v>351</v>
      </c>
      <c r="D79" s="19" t="str">
        <f>HYPERLINK("http://henontech.com/fieldsafety/harzard/harzard_show.php?rid=1000&amp;url=harzardrecs.php","南脱硫2#脱硫塔由于腐蚀严重出现漏点，外漏脱硫液，如果一名员工巡检到此处，观察漏点时，脱硫液不慎滴入严重，造成眼部轻微灼伤。")</f>
        <v>南脱硫2#脱硫塔由于腐蚀严重出现漏点，外漏脱硫液，如果一名员工巡检到此处，观察漏点时，脱硫液不慎滴入严重，造成眼部轻微灼伤。</v>
      </c>
      <c r="E79" s="19" t="s">
        <v>506</v>
      </c>
      <c r="F79" s="20" t="s">
        <v>42</v>
      </c>
      <c r="G79" s="21" t="s">
        <v>43</v>
      </c>
      <c r="H79" s="19" t="s">
        <v>44</v>
      </c>
      <c r="I79" s="19" t="s">
        <v>106</v>
      </c>
      <c r="J79" s="19" t="s">
        <v>45</v>
      </c>
      <c r="K79" s="19" t="s">
        <v>98</v>
      </c>
      <c r="L79" s="19" t="s">
        <v>99</v>
      </c>
      <c r="M79" s="19" t="s">
        <v>334</v>
      </c>
      <c r="N79" s="19" t="s">
        <v>507</v>
      </c>
      <c r="O79" s="19" t="s">
        <v>334</v>
      </c>
      <c r="P79" s="19" t="s">
        <v>346</v>
      </c>
      <c r="Q79" s="19" t="s">
        <v>451</v>
      </c>
      <c r="R79" s="19" t="s">
        <v>508</v>
      </c>
      <c r="S79" s="19"/>
      <c r="T79" s="19" t="s">
        <v>52</v>
      </c>
      <c r="U79" s="19" t="s">
        <v>70</v>
      </c>
      <c r="V79" s="19" t="s">
        <v>71</v>
      </c>
      <c r="W79" s="19" t="s">
        <v>72</v>
      </c>
      <c r="X79" s="19"/>
      <c r="Y79" s="19"/>
      <c r="Z79" s="19" t="s">
        <v>509</v>
      </c>
      <c r="AA79" s="19">
        <v>2</v>
      </c>
      <c r="AB79" s="19">
        <v>1</v>
      </c>
      <c r="AC79" s="19" t="s">
        <v>58</v>
      </c>
      <c r="AD79" s="19" t="s">
        <v>346</v>
      </c>
      <c r="AE79" s="19" t="s">
        <v>49</v>
      </c>
      <c r="AF79" s="19"/>
    </row>
    <row r="80" spans="1:34">
      <c r="A80" s="19">
        <v>72</v>
      </c>
      <c r="B80" s="19" t="s">
        <v>49</v>
      </c>
      <c r="C80" s="19" t="s">
        <v>501</v>
      </c>
      <c r="D80" s="19" t="str">
        <f>HYPERLINK("http://henontech.com/fieldsafety/harzard/harzard_show.php?rid=1001&amp;url=harzardrecs.php","真空泵无接地线，如果巡检人员检查设备时外壳漏电可能会发生触电伤害。")</f>
        <v>真空泵无接地线，如果巡检人员检查设备时外壳漏电可能会发生触电伤害。</v>
      </c>
      <c r="E80" s="19" t="s">
        <v>510</v>
      </c>
      <c r="F80" s="20" t="s">
        <v>42</v>
      </c>
      <c r="G80" s="22" t="s">
        <v>64</v>
      </c>
      <c r="H80" s="19" t="s">
        <v>44</v>
      </c>
      <c r="I80" s="19" t="s">
        <v>97</v>
      </c>
      <c r="J80" s="19" t="s">
        <v>45</v>
      </c>
      <c r="K80" s="19" t="s">
        <v>170</v>
      </c>
      <c r="L80" s="19"/>
      <c r="M80" s="19" t="s">
        <v>334</v>
      </c>
      <c r="N80" s="19" t="s">
        <v>511</v>
      </c>
      <c r="O80" s="19" t="s">
        <v>334</v>
      </c>
      <c r="P80" s="19" t="s">
        <v>346</v>
      </c>
      <c r="Q80" s="19" t="s">
        <v>451</v>
      </c>
      <c r="R80" s="19" t="s">
        <v>512</v>
      </c>
      <c r="S80" s="19"/>
      <c r="T80" s="19" t="s">
        <v>52</v>
      </c>
      <c r="U80" s="19" t="s">
        <v>70</v>
      </c>
      <c r="V80" s="19" t="s">
        <v>54</v>
      </c>
      <c r="W80" s="19" t="s">
        <v>81</v>
      </c>
      <c r="X80" s="19"/>
      <c r="Y80" s="19"/>
      <c r="Z80" s="19" t="s">
        <v>513</v>
      </c>
      <c r="AA80" s="19">
        <v>1</v>
      </c>
      <c r="AB80" s="19">
        <v>1</v>
      </c>
      <c r="AC80" s="19" t="s">
        <v>58</v>
      </c>
      <c r="AD80" s="19" t="s">
        <v>346</v>
      </c>
      <c r="AE80" s="19" t="s">
        <v>59</v>
      </c>
      <c r="AF80" s="19"/>
    </row>
    <row r="81" spans="1:34">
      <c r="A81" s="19">
        <v>73</v>
      </c>
      <c r="B81" s="19" t="s">
        <v>49</v>
      </c>
      <c r="C81" s="19" t="s">
        <v>514</v>
      </c>
      <c r="D81" s="19" t="str">
        <f>HYPERLINK("http://henontech.com/fieldsafety/harzard/harzard_show.php?rid=1002&amp;url=harzardrecs.php","切割机电缆未防护，长时间进行切割作业飞溅火星可能会造成电缆烧伤破损，假如维修人员移动时可能会造成电缆短路")</f>
        <v>切割机电缆未防护，长时间进行切割作业飞溅火星可能会造成电缆烧伤破损，假如维修人员移动时可能会造成电缆短路</v>
      </c>
      <c r="E81" s="19" t="s">
        <v>515</v>
      </c>
      <c r="F81" s="20" t="s">
        <v>42</v>
      </c>
      <c r="G81" s="21" t="s">
        <v>43</v>
      </c>
      <c r="H81" s="19" t="s">
        <v>44</v>
      </c>
      <c r="I81" s="19" t="s">
        <v>97</v>
      </c>
      <c r="J81" s="19" t="s">
        <v>182</v>
      </c>
      <c r="K81" s="19" t="s">
        <v>108</v>
      </c>
      <c r="L81" s="19"/>
      <c r="M81" s="19" t="s">
        <v>334</v>
      </c>
      <c r="N81" s="19" t="s">
        <v>516</v>
      </c>
      <c r="O81" s="19" t="s">
        <v>334</v>
      </c>
      <c r="P81" s="19" t="s">
        <v>346</v>
      </c>
      <c r="Q81" s="19" t="s">
        <v>451</v>
      </c>
      <c r="R81" s="19" t="s">
        <v>517</v>
      </c>
      <c r="S81" s="19"/>
      <c r="T81" s="19" t="s">
        <v>52</v>
      </c>
      <c r="U81" s="19" t="s">
        <v>70</v>
      </c>
      <c r="V81" s="19" t="s">
        <v>124</v>
      </c>
      <c r="W81" s="19" t="s">
        <v>81</v>
      </c>
      <c r="X81" s="19"/>
      <c r="Y81" s="19"/>
      <c r="Z81" s="19" t="s">
        <v>518</v>
      </c>
      <c r="AA81" s="19">
        <v>1</v>
      </c>
      <c r="AB81" s="19">
        <v>1</v>
      </c>
      <c r="AC81" s="19" t="s">
        <v>58</v>
      </c>
      <c r="AD81" s="19" t="s">
        <v>346</v>
      </c>
      <c r="AE81" s="19" t="s">
        <v>519</v>
      </c>
      <c r="AF81" s="19"/>
    </row>
    <row r="82" spans="1:34">
      <c r="A82" s="19">
        <v>74</v>
      </c>
      <c r="B82" s="19" t="s">
        <v>49</v>
      </c>
      <c r="C82" s="19" t="s">
        <v>520</v>
      </c>
      <c r="D82" s="19" t="str">
        <f>HYPERLINK("http://henontech.com/fieldsafety/harzard/harzard_show.php?rid=1003&amp;url=harzardrecs.php","饱和器反冲管管道法兰连接处漏点，如处理不及时加大腐蚀，造成母液大量流出，满流槽液位降低煤气冒出，环保事故")</f>
        <v>饱和器反冲管管道法兰连接处漏点，如处理不及时加大腐蚀，造成母液大量流出，满流槽液位降低煤气冒出，环保事故</v>
      </c>
      <c r="E82" s="19" t="s">
        <v>521</v>
      </c>
      <c r="F82" s="20" t="s">
        <v>42</v>
      </c>
      <c r="G82" s="22" t="s">
        <v>64</v>
      </c>
      <c r="H82" s="19" t="s">
        <v>44</v>
      </c>
      <c r="I82" s="19" t="s">
        <v>97</v>
      </c>
      <c r="J82" s="19" t="s">
        <v>45</v>
      </c>
      <c r="K82" s="19" t="s">
        <v>98</v>
      </c>
      <c r="L82" s="19" t="s">
        <v>99</v>
      </c>
      <c r="M82" s="19" t="s">
        <v>334</v>
      </c>
      <c r="N82" s="19" t="s">
        <v>522</v>
      </c>
      <c r="O82" s="19" t="s">
        <v>334</v>
      </c>
      <c r="P82" s="19" t="s">
        <v>346</v>
      </c>
      <c r="Q82" s="19" t="s">
        <v>347</v>
      </c>
      <c r="R82" s="19" t="s">
        <v>523</v>
      </c>
      <c r="S82" s="19"/>
      <c r="T82" s="19" t="s">
        <v>200</v>
      </c>
      <c r="U82" s="19" t="s">
        <v>79</v>
      </c>
      <c r="V82" s="19" t="s">
        <v>54</v>
      </c>
      <c r="W82" s="19" t="s">
        <v>81</v>
      </c>
      <c r="X82" s="19"/>
      <c r="Y82" s="19"/>
      <c r="Z82" s="19" t="s">
        <v>524</v>
      </c>
      <c r="AA82" s="19">
        <v>1</v>
      </c>
      <c r="AB82" s="19">
        <v>1</v>
      </c>
      <c r="AC82" s="19" t="s">
        <v>58</v>
      </c>
      <c r="AD82" s="19" t="s">
        <v>346</v>
      </c>
      <c r="AE82" s="19" t="s">
        <v>525</v>
      </c>
      <c r="AF82" s="19"/>
    </row>
    <row r="83" spans="1:34" customHeight="1" ht="42">
      <c r="A83" s="19">
        <v>75</v>
      </c>
      <c r="B83" s="19" t="s">
        <v>49</v>
      </c>
      <c r="C83" s="19" t="s">
        <v>356</v>
      </c>
      <c r="D83" s="19" t="str">
        <f>HYPERLINK("http://henontech.com/fieldsafety/harzard/harzard_show.php?rid=1006&amp;url=harzardrecs.php","二号脱硫塔处煤气取样管由于长时间使用，腐蚀严重，煤气阀门关不严，假如化验人员未进行有效防护进行取样作业时，操作人员会造成煤气中毒事故。")</f>
        <v>二号脱硫塔处煤气取样管由于长时间使用，腐蚀严重，煤气阀门关不严，假如化验人员未进行有效防护进行取样作业时，操作人员会造成煤气中毒事故。</v>
      </c>
      <c r="E83" s="19" t="s">
        <v>526</v>
      </c>
      <c r="F83" s="20" t="s">
        <v>42</v>
      </c>
      <c r="G83" s="21" t="s">
        <v>43</v>
      </c>
      <c r="H83" s="19" t="s">
        <v>44</v>
      </c>
      <c r="I83" s="19" t="s">
        <v>106</v>
      </c>
      <c r="J83" s="19" t="s">
        <v>527</v>
      </c>
      <c r="K83" s="19" t="s">
        <v>98</v>
      </c>
      <c r="L83" s="19" t="s">
        <v>99</v>
      </c>
      <c r="M83" s="19" t="s">
        <v>334</v>
      </c>
      <c r="N83" s="19" t="s">
        <v>528</v>
      </c>
      <c r="O83" s="19" t="s">
        <v>334</v>
      </c>
      <c r="P83" s="19" t="s">
        <v>346</v>
      </c>
      <c r="Q83" s="19" t="s">
        <v>394</v>
      </c>
      <c r="R83" s="19" t="s">
        <v>529</v>
      </c>
      <c r="S83" s="19"/>
      <c r="T83" s="19" t="s">
        <v>52</v>
      </c>
      <c r="U83" s="19" t="s">
        <v>70</v>
      </c>
      <c r="V83" s="19" t="s">
        <v>54</v>
      </c>
      <c r="W83" s="19" t="s">
        <v>81</v>
      </c>
      <c r="X83" s="19"/>
      <c r="Y83" s="19"/>
      <c r="Z83" s="19" t="s">
        <v>530</v>
      </c>
      <c r="AA83" s="19">
        <v>2</v>
      </c>
      <c r="AB83" s="19">
        <v>2</v>
      </c>
      <c r="AC83" s="19" t="s">
        <v>58</v>
      </c>
      <c r="AD83" s="19" t="s">
        <v>346</v>
      </c>
      <c r="AE83" s="19" t="s">
        <v>362</v>
      </c>
      <c r="AF83" s="19"/>
    </row>
    <row r="84" spans="1:34" customHeight="1" ht="42">
      <c r="A84" s="19">
        <v>76</v>
      </c>
      <c r="B84" s="19" t="s">
        <v>49</v>
      </c>
      <c r="C84" s="19" t="s">
        <v>459</v>
      </c>
      <c r="D84" s="19" t="str">
        <f>HYPERLINK("http://henontech.com/fieldsafety/harzard/harzard_show.php?rid=1007&amp;url=harzardrecs.php","预处理项目施工现场周围无警戒线，无照明警示，施工现场有低于地平面30公分左右的沟渠，如果在晚上视线不理想情况下夜班一名操作人员由于疲劳操作容易误跌入施工现场沟渠内，造成人员上臂尺骨骨裂事故。")</f>
        <v>预处理项目施工现场周围无警戒线，无照明警示，施工现场有低于地平面30公分左右的沟渠，如果在晚上视线不理想情况下夜班一名操作人员由于疲劳操作容易误跌入施工现场沟渠内，造成人员上臂尺骨骨裂事故。</v>
      </c>
      <c r="E84" s="19" t="s">
        <v>531</v>
      </c>
      <c r="F84" s="20" t="s">
        <v>42</v>
      </c>
      <c r="G84" s="22" t="s">
        <v>64</v>
      </c>
      <c r="H84" s="19" t="s">
        <v>44</v>
      </c>
      <c r="I84" s="19" t="s">
        <v>532</v>
      </c>
      <c r="J84" s="19"/>
      <c r="K84" s="19" t="s">
        <v>108</v>
      </c>
      <c r="L84" s="19"/>
      <c r="M84" s="19" t="s">
        <v>232</v>
      </c>
      <c r="N84" s="19" t="s">
        <v>533</v>
      </c>
      <c r="O84" s="19" t="s">
        <v>232</v>
      </c>
      <c r="P84" s="19" t="s">
        <v>234</v>
      </c>
      <c r="Q84" s="19" t="s">
        <v>422</v>
      </c>
      <c r="R84" s="19" t="s">
        <v>534</v>
      </c>
      <c r="S84" s="19"/>
      <c r="T84" s="19" t="s">
        <v>52</v>
      </c>
      <c r="U84" s="19" t="s">
        <v>79</v>
      </c>
      <c r="V84" s="19" t="s">
        <v>54</v>
      </c>
      <c r="W84" s="19" t="s">
        <v>81</v>
      </c>
      <c r="X84" s="19" t="s">
        <v>148</v>
      </c>
      <c r="Y84" s="19" t="s">
        <v>148</v>
      </c>
      <c r="Z84" s="19" t="s">
        <v>535</v>
      </c>
      <c r="AA84" s="19">
        <v>2</v>
      </c>
      <c r="AB84" s="19">
        <v>2</v>
      </c>
      <c r="AC84" s="19" t="s">
        <v>58</v>
      </c>
      <c r="AD84" s="19" t="s">
        <v>234</v>
      </c>
      <c r="AE84" s="19" t="s">
        <v>244</v>
      </c>
      <c r="AF84" s="19" t="s">
        <v>536</v>
      </c>
    </row>
    <row r="85" spans="1:34">
      <c r="A85" s="19">
        <v>77</v>
      </c>
      <c r="B85" s="19" t="s">
        <v>244</v>
      </c>
      <c r="C85" s="19" t="s">
        <v>537</v>
      </c>
      <c r="D85" s="19" t="str">
        <f>HYPERLINK("http://henontech.com/fieldsafety/harzard/harzard_show.php?rid=1008&amp;url=harzardrecs.php","一名操作人员在循环槽顶部巡检时，发现打催化剂管线晃动大，如果不及时加固可能会造成催化剂管线上的阀门破裂，液体流出污染环境。")</f>
        <v>一名操作人员在循环槽顶部巡检时，发现打催化剂管线晃动大，如果不及时加固可能会造成催化剂管线上的阀门破裂，液体流出污染环境。</v>
      </c>
      <c r="E85" s="19" t="s">
        <v>538</v>
      </c>
      <c r="F85" s="20" t="s">
        <v>42</v>
      </c>
      <c r="G85" s="22" t="s">
        <v>64</v>
      </c>
      <c r="H85" s="19" t="s">
        <v>44</v>
      </c>
      <c r="I85" s="19" t="s">
        <v>119</v>
      </c>
      <c r="J85" s="19" t="s">
        <v>45</v>
      </c>
      <c r="K85" s="19" t="s">
        <v>108</v>
      </c>
      <c r="L85" s="19" t="s">
        <v>99</v>
      </c>
      <c r="M85" s="19" t="s">
        <v>334</v>
      </c>
      <c r="N85" s="19" t="s">
        <v>539</v>
      </c>
      <c r="O85" s="19" t="s">
        <v>334</v>
      </c>
      <c r="P85" s="19" t="s">
        <v>346</v>
      </c>
      <c r="Q85" s="19" t="s">
        <v>394</v>
      </c>
      <c r="R85" s="19" t="s">
        <v>540</v>
      </c>
      <c r="S85" s="19"/>
      <c r="T85" s="19" t="s">
        <v>200</v>
      </c>
      <c r="U85" s="19" t="s">
        <v>79</v>
      </c>
      <c r="V85" s="19" t="s">
        <v>80</v>
      </c>
      <c r="W85" s="19" t="s">
        <v>81</v>
      </c>
      <c r="X85" s="19"/>
      <c r="Y85" s="19"/>
      <c r="Z85" s="19" t="s">
        <v>541</v>
      </c>
      <c r="AA85" s="19">
        <v>1</v>
      </c>
      <c r="AB85" s="19">
        <v>1</v>
      </c>
      <c r="AC85" s="19" t="s">
        <v>58</v>
      </c>
      <c r="AD85" s="19" t="s">
        <v>346</v>
      </c>
      <c r="AE85" s="19" t="s">
        <v>244</v>
      </c>
      <c r="AF85" s="19"/>
    </row>
    <row r="86" spans="1:34">
      <c r="A86" s="19">
        <v>78</v>
      </c>
      <c r="B86" s="19" t="s">
        <v>244</v>
      </c>
      <c r="C86" s="19" t="s">
        <v>338</v>
      </c>
      <c r="D86" s="19" t="str">
        <f>HYPERLINK("http://henontech.com/fieldsafety/harzard/harzard_show.php?rid=1009&amp;url=harzardrecs.php","泡沫槽积水坑无盖板，如果巡检人员迈入积水坑，会造成脚部扭伤。")</f>
        <v>泡沫槽积水坑无盖板，如果巡检人员迈入积水坑，会造成脚部扭伤。</v>
      </c>
      <c r="E86" s="19" t="s">
        <v>542</v>
      </c>
      <c r="F86" s="20" t="s">
        <v>42</v>
      </c>
      <c r="G86" s="22" t="s">
        <v>64</v>
      </c>
      <c r="H86" s="19" t="s">
        <v>44</v>
      </c>
      <c r="I86" s="19" t="s">
        <v>119</v>
      </c>
      <c r="J86" s="19" t="s">
        <v>45</v>
      </c>
      <c r="K86" s="19" t="s">
        <v>108</v>
      </c>
      <c r="L86" s="19"/>
      <c r="M86" s="19" t="s">
        <v>334</v>
      </c>
      <c r="N86" s="19" t="s">
        <v>543</v>
      </c>
      <c r="O86" s="19" t="s">
        <v>334</v>
      </c>
      <c r="P86" s="19" t="s">
        <v>346</v>
      </c>
      <c r="Q86" s="19" t="s">
        <v>394</v>
      </c>
      <c r="R86" s="19" t="s">
        <v>544</v>
      </c>
      <c r="S86" s="19"/>
      <c r="T86" s="19" t="s">
        <v>52</v>
      </c>
      <c r="U86" s="19" t="s">
        <v>70</v>
      </c>
      <c r="V86" s="19" t="s">
        <v>54</v>
      </c>
      <c r="W86" s="19" t="s">
        <v>81</v>
      </c>
      <c r="X86" s="19"/>
      <c r="Y86" s="19"/>
      <c r="Z86" s="19" t="s">
        <v>545</v>
      </c>
      <c r="AA86" s="19">
        <v>1</v>
      </c>
      <c r="AB86" s="19">
        <v>1</v>
      </c>
      <c r="AC86" s="19" t="s">
        <v>58</v>
      </c>
      <c r="AD86" s="19" t="s">
        <v>346</v>
      </c>
      <c r="AE86" s="19" t="s">
        <v>244</v>
      </c>
      <c r="AF86" s="19"/>
    </row>
    <row r="87" spans="1:34">
      <c r="A87" s="19">
        <v>79</v>
      </c>
      <c r="B87" s="19" t="s">
        <v>546</v>
      </c>
      <c r="C87" s="19" t="s">
        <v>520</v>
      </c>
      <c r="D87" s="19" t="str">
        <f>HYPERLINK("http://henontech.com/fieldsafety/harzard/harzard_show.php?rid=1012&amp;url=harzardrecs.php","硫铵一名 操作工在更换检查蒸汽阀门电子作业中，上部阀门未关严，一旦蒸汽少量喷出，作业人员未佩戴防护面罩会灼烫到面部，轻微烫伤。")</f>
        <v>硫铵一名 操作工在更换检查蒸汽阀门电子作业中，上部阀门未关严，一旦蒸汽少量喷出，作业人员未佩戴防护面罩会灼烫到面部，轻微烫伤。</v>
      </c>
      <c r="E87" s="19" t="s">
        <v>547</v>
      </c>
      <c r="F87" s="20" t="s">
        <v>42</v>
      </c>
      <c r="G87" s="22" t="s">
        <v>64</v>
      </c>
      <c r="H87" s="19" t="s">
        <v>44</v>
      </c>
      <c r="I87" s="19" t="s">
        <v>119</v>
      </c>
      <c r="J87" s="19" t="s">
        <v>182</v>
      </c>
      <c r="K87" s="19" t="s">
        <v>170</v>
      </c>
      <c r="L87" s="19" t="s">
        <v>99</v>
      </c>
      <c r="M87" s="19" t="s">
        <v>334</v>
      </c>
      <c r="N87" s="19" t="s">
        <v>340</v>
      </c>
      <c r="O87" s="19" t="s">
        <v>334</v>
      </c>
      <c r="P87" s="19" t="s">
        <v>346</v>
      </c>
      <c r="Q87" s="19" t="s">
        <v>347</v>
      </c>
      <c r="R87" s="19" t="s">
        <v>548</v>
      </c>
      <c r="S87" s="19"/>
      <c r="T87" s="19" t="s">
        <v>52</v>
      </c>
      <c r="U87" s="19" t="s">
        <v>70</v>
      </c>
      <c r="V87" s="19" t="s">
        <v>54</v>
      </c>
      <c r="W87" s="19" t="s">
        <v>81</v>
      </c>
      <c r="X87" s="19"/>
      <c r="Y87" s="19"/>
      <c r="Z87" s="19" t="s">
        <v>549</v>
      </c>
      <c r="AA87" s="19">
        <v>1</v>
      </c>
      <c r="AB87" s="19">
        <v>1</v>
      </c>
      <c r="AC87" s="19" t="s">
        <v>58</v>
      </c>
      <c r="AD87" s="19" t="s">
        <v>346</v>
      </c>
      <c r="AE87" s="19" t="s">
        <v>362</v>
      </c>
      <c r="AF87" s="19"/>
    </row>
    <row r="88" spans="1:34">
      <c r="A88" s="19">
        <v>80</v>
      </c>
      <c r="B88" s="19" t="s">
        <v>546</v>
      </c>
      <c r="C88" s="19" t="s">
        <v>550</v>
      </c>
      <c r="D88" s="19" t="str">
        <f>HYPERLINK("http://henontech.com/fieldsafety/harzard/harzard_show.php?rid=1013&amp;url=harzardrecs.php","凉水塔顶部水泥地面破裂，出现微小坑洞，巡检人员经过此处，可能造成人员摔倒。造成巡检人员轻微摔伤")</f>
        <v>凉水塔顶部水泥地面破裂，出现微小坑洞，巡检人员经过此处，可能造成人员摔倒。造成巡检人员轻微摔伤</v>
      </c>
      <c r="E88" s="19" t="s">
        <v>551</v>
      </c>
      <c r="F88" s="20" t="s">
        <v>42</v>
      </c>
      <c r="G88" s="22" t="s">
        <v>64</v>
      </c>
      <c r="H88" s="19" t="s">
        <v>44</v>
      </c>
      <c r="I88" s="19" t="s">
        <v>119</v>
      </c>
      <c r="J88" s="19"/>
      <c r="K88" s="19" t="s">
        <v>108</v>
      </c>
      <c r="L88" s="19"/>
      <c r="M88" s="19" t="s">
        <v>334</v>
      </c>
      <c r="N88" s="19" t="s">
        <v>552</v>
      </c>
      <c r="O88" s="19" t="s">
        <v>334</v>
      </c>
      <c r="P88" s="19" t="s">
        <v>346</v>
      </c>
      <c r="Q88" s="19" t="s">
        <v>347</v>
      </c>
      <c r="R88" s="19" t="s">
        <v>553</v>
      </c>
      <c r="S88" s="19"/>
      <c r="T88" s="19" t="s">
        <v>52</v>
      </c>
      <c r="U88" s="19" t="s">
        <v>79</v>
      </c>
      <c r="V88" s="19" t="s">
        <v>124</v>
      </c>
      <c r="W88" s="19" t="s">
        <v>81</v>
      </c>
      <c r="X88" s="19"/>
      <c r="Y88" s="19"/>
      <c r="Z88" s="19" t="s">
        <v>554</v>
      </c>
      <c r="AA88" s="19">
        <v>1</v>
      </c>
      <c r="AB88" s="19">
        <v>1</v>
      </c>
      <c r="AC88" s="19" t="s">
        <v>58</v>
      </c>
      <c r="AD88" s="19" t="s">
        <v>346</v>
      </c>
      <c r="AE88" s="19" t="s">
        <v>555</v>
      </c>
      <c r="AF88" s="19"/>
    </row>
    <row r="89" spans="1:34">
      <c r="A89" s="19">
        <v>81</v>
      </c>
      <c r="B89" s="19" t="s">
        <v>546</v>
      </c>
      <c r="C89" s="19" t="s">
        <v>556</v>
      </c>
      <c r="D89" s="19" t="str">
        <f>HYPERLINK("http://henontech.com/fieldsafety/harzard/harzard_show.php?rid=1014&amp;url=harzardrecs.php","废料堆现场较为杂乱，吊车司机视线不清，且双方均未佩戴对讲机进行及时沟通，假如指挥人员指挥失误会导致吊装件下落位置不准确，将会砸伤接件人员。")</f>
        <v>废料堆现场较为杂乱，吊车司机视线不清，且双方均未佩戴对讲机进行及时沟通，假如指挥人员指挥失误会导致吊装件下落位置不准确，将会砸伤接件人员。</v>
      </c>
      <c r="E89" s="19" t="s">
        <v>557</v>
      </c>
      <c r="F89" s="20" t="s">
        <v>42</v>
      </c>
      <c r="G89" s="22" t="s">
        <v>64</v>
      </c>
      <c r="H89" s="19" t="s">
        <v>44</v>
      </c>
      <c r="I89" s="19" t="s">
        <v>558</v>
      </c>
      <c r="J89" s="19" t="s">
        <v>45</v>
      </c>
      <c r="K89" s="19" t="s">
        <v>108</v>
      </c>
      <c r="L89" s="19" t="s">
        <v>99</v>
      </c>
      <c r="M89" s="19" t="s">
        <v>334</v>
      </c>
      <c r="N89" s="19" t="s">
        <v>559</v>
      </c>
      <c r="O89" s="19" t="s">
        <v>334</v>
      </c>
      <c r="P89" s="19" t="s">
        <v>346</v>
      </c>
      <c r="Q89" s="19" t="s">
        <v>525</v>
      </c>
      <c r="R89" s="19" t="s">
        <v>560</v>
      </c>
      <c r="S89" s="19"/>
      <c r="T89" s="19" t="s">
        <v>52</v>
      </c>
      <c r="U89" s="19" t="s">
        <v>70</v>
      </c>
      <c r="V89" s="19" t="s">
        <v>54</v>
      </c>
      <c r="W89" s="19" t="s">
        <v>81</v>
      </c>
      <c r="X89" s="19"/>
      <c r="Y89" s="19"/>
      <c r="Z89" s="19" t="s">
        <v>561</v>
      </c>
      <c r="AA89" s="19">
        <v>1</v>
      </c>
      <c r="AB89" s="19">
        <v>1</v>
      </c>
      <c r="AC89" s="19" t="s">
        <v>58</v>
      </c>
      <c r="AD89" s="19" t="s">
        <v>346</v>
      </c>
      <c r="AE89" s="19" t="s">
        <v>562</v>
      </c>
      <c r="AF89" s="19"/>
    </row>
    <row r="90" spans="1:34">
      <c r="A90" s="19">
        <v>82</v>
      </c>
      <c r="B90" s="19" t="s">
        <v>546</v>
      </c>
      <c r="C90" s="19" t="s">
        <v>563</v>
      </c>
      <c r="D90" s="19" t="str">
        <f>HYPERLINK("http://henontech.com/fieldsafety/harzard/harzard_show.php?rid=1015&amp;url=harzardrecs.php","作业现场警戒线脱落，夜间视线不良，人员误入作业场地，被现场铁板拌倒，送医检查脚踝扭伤，经冰镇处理在家休养两天！")</f>
        <v>作业现场警戒线脱落，夜间视线不良，人员误入作业场地，被现场铁板拌倒，送医检查脚踝扭伤，经冰镇处理在家休养两天！</v>
      </c>
      <c r="E90" s="19" t="s">
        <v>564</v>
      </c>
      <c r="F90" s="20" t="s">
        <v>42</v>
      </c>
      <c r="G90" s="22" t="s">
        <v>64</v>
      </c>
      <c r="H90" s="19" t="s">
        <v>44</v>
      </c>
      <c r="I90" s="19"/>
      <c r="J90" s="19" t="s">
        <v>182</v>
      </c>
      <c r="K90" s="19" t="s">
        <v>108</v>
      </c>
      <c r="L90" s="19"/>
      <c r="M90" s="19" t="s">
        <v>565</v>
      </c>
      <c r="N90" s="19" t="s">
        <v>566</v>
      </c>
      <c r="O90" s="19" t="s">
        <v>565</v>
      </c>
      <c r="P90" s="19" t="s">
        <v>566</v>
      </c>
      <c r="Q90" s="19" t="s">
        <v>555</v>
      </c>
      <c r="R90" s="19" t="s">
        <v>567</v>
      </c>
      <c r="S90" s="19"/>
      <c r="T90" s="19" t="s">
        <v>52</v>
      </c>
      <c r="U90" s="19" t="s">
        <v>70</v>
      </c>
      <c r="V90" s="19" t="s">
        <v>71</v>
      </c>
      <c r="W90" s="19" t="s">
        <v>72</v>
      </c>
      <c r="X90" s="19"/>
      <c r="Y90" s="19"/>
      <c r="Z90" s="19" t="s">
        <v>568</v>
      </c>
      <c r="AA90" s="19">
        <v>1</v>
      </c>
      <c r="AB90" s="19">
        <v>1</v>
      </c>
      <c r="AC90" s="19" t="s">
        <v>58</v>
      </c>
      <c r="AD90" s="19" t="s">
        <v>566</v>
      </c>
      <c r="AE90" s="19" t="s">
        <v>555</v>
      </c>
      <c r="AF90" s="19" t="s">
        <v>569</v>
      </c>
    </row>
    <row r="91" spans="1:34">
      <c r="A91" s="19">
        <v>83</v>
      </c>
      <c r="B91" s="19" t="s">
        <v>555</v>
      </c>
      <c r="C91" s="19" t="s">
        <v>391</v>
      </c>
      <c r="D91" s="19" t="str">
        <f>HYPERLINK("http://henontech.com/fieldsafety/harzard/harzard_show.php?rid=1016&amp;url=harzardrecs.php","大母液泵喷洒密封不严，造成煤气泄露，如果操作工巡检不到位，会造成煤气中毒。")</f>
        <v>大母液泵喷洒密封不严，造成煤气泄露，如果操作工巡检不到位，会造成煤气中毒。</v>
      </c>
      <c r="E91" s="19" t="s">
        <v>570</v>
      </c>
      <c r="F91" s="23" t="s">
        <v>96</v>
      </c>
      <c r="G91" s="22" t="s">
        <v>64</v>
      </c>
      <c r="H91" s="19" t="s">
        <v>44</v>
      </c>
      <c r="I91" s="19" t="s">
        <v>119</v>
      </c>
      <c r="J91" s="19" t="s">
        <v>45</v>
      </c>
      <c r="K91" s="19" t="s">
        <v>108</v>
      </c>
      <c r="L91" s="19"/>
      <c r="M91" s="19" t="s">
        <v>334</v>
      </c>
      <c r="N91" s="19" t="s">
        <v>507</v>
      </c>
      <c r="O91" s="19"/>
      <c r="P91" s="19"/>
      <c r="Q91" s="19"/>
      <c r="R91" s="19" t="s">
        <v>571</v>
      </c>
      <c r="S91" s="19" t="s">
        <v>572</v>
      </c>
      <c r="T91" s="19" t="s">
        <v>52</v>
      </c>
      <c r="U91" s="19" t="s">
        <v>70</v>
      </c>
      <c r="V91" s="19" t="s">
        <v>54</v>
      </c>
      <c r="W91" s="19" t="s">
        <v>81</v>
      </c>
      <c r="X91" s="19"/>
      <c r="Y91" s="19"/>
      <c r="Z91" s="19"/>
      <c r="AA91" s="19">
        <v>0</v>
      </c>
      <c r="AB91" s="19"/>
      <c r="AC91" s="19" t="s">
        <v>103</v>
      </c>
      <c r="AD91" s="19"/>
      <c r="AE91" s="19"/>
      <c r="AF91" s="19"/>
    </row>
    <row r="92" spans="1:34">
      <c r="A92" s="19">
        <v>84</v>
      </c>
      <c r="B92" s="19" t="s">
        <v>555</v>
      </c>
      <c r="C92" s="19" t="s">
        <v>391</v>
      </c>
      <c r="D92" s="19" t="str">
        <f>HYPERLINK("http://henontech.com/fieldsafety/harzard/harzard_show.php?rid=1017&amp;url=harzardrecs.php","饱和器大母液泵喷洒密封不严，造成煤气泄露，如果操作工巡检不到位，会造成煤气中毒。")</f>
        <v>饱和器大母液泵喷洒密封不严，造成煤气泄露，如果操作工巡检不到位，会造成煤气中毒。</v>
      </c>
      <c r="E92" s="19" t="s">
        <v>570</v>
      </c>
      <c r="F92" s="23" t="s">
        <v>96</v>
      </c>
      <c r="G92" s="22" t="s">
        <v>64</v>
      </c>
      <c r="H92" s="19" t="s">
        <v>44</v>
      </c>
      <c r="I92" s="19" t="s">
        <v>119</v>
      </c>
      <c r="J92" s="19" t="s">
        <v>45</v>
      </c>
      <c r="K92" s="19" t="s">
        <v>108</v>
      </c>
      <c r="L92" s="19"/>
      <c r="M92" s="19" t="s">
        <v>334</v>
      </c>
      <c r="N92" s="19" t="s">
        <v>507</v>
      </c>
      <c r="O92" s="19"/>
      <c r="P92" s="19"/>
      <c r="Q92" s="19"/>
      <c r="R92" s="19" t="s">
        <v>571</v>
      </c>
      <c r="S92" s="19" t="s">
        <v>573</v>
      </c>
      <c r="T92" s="19" t="s">
        <v>52</v>
      </c>
      <c r="U92" s="19" t="s">
        <v>70</v>
      </c>
      <c r="V92" s="19" t="s">
        <v>54</v>
      </c>
      <c r="W92" s="19" t="s">
        <v>81</v>
      </c>
      <c r="X92" s="19"/>
      <c r="Y92" s="19"/>
      <c r="Z92" s="19"/>
      <c r="AA92" s="19">
        <v>0</v>
      </c>
      <c r="AB92" s="19"/>
      <c r="AC92" s="19" t="s">
        <v>103</v>
      </c>
      <c r="AD92" s="19"/>
      <c r="AE92" s="19"/>
      <c r="AF92" s="19"/>
    </row>
    <row r="93" spans="1:34">
      <c r="A93" s="19">
        <v>85</v>
      </c>
      <c r="B93" s="19" t="s">
        <v>555</v>
      </c>
      <c r="C93" s="19" t="s">
        <v>520</v>
      </c>
      <c r="D93" s="19" t="str">
        <f>HYPERLINK("http://henontech.com/fieldsafety/harzard/harzard_show.php?rid=1018&amp;url=harzardrecs.php","饱和器大母液泵喷洒密封不严，造成煤气泄露，如果操作工巡检不到位，会造成煤气中毒。")</f>
        <v>饱和器大母液泵喷洒密封不严，造成煤气泄露，如果操作工巡检不到位，会造成煤气中毒。</v>
      </c>
      <c r="E93" s="19" t="s">
        <v>570</v>
      </c>
      <c r="F93" s="20" t="s">
        <v>42</v>
      </c>
      <c r="G93" s="21" t="s">
        <v>43</v>
      </c>
      <c r="H93" s="19" t="s">
        <v>44</v>
      </c>
      <c r="I93" s="19" t="s">
        <v>119</v>
      </c>
      <c r="J93" s="19" t="s">
        <v>45</v>
      </c>
      <c r="K93" s="19" t="s">
        <v>108</v>
      </c>
      <c r="L93" s="19"/>
      <c r="M93" s="19" t="s">
        <v>334</v>
      </c>
      <c r="N93" s="19" t="s">
        <v>574</v>
      </c>
      <c r="O93" s="19" t="s">
        <v>334</v>
      </c>
      <c r="P93" s="19" t="s">
        <v>346</v>
      </c>
      <c r="Q93" s="19" t="s">
        <v>575</v>
      </c>
      <c r="R93" s="19" t="s">
        <v>571</v>
      </c>
      <c r="S93" s="19"/>
      <c r="T93" s="19" t="s">
        <v>52</v>
      </c>
      <c r="U93" s="19" t="s">
        <v>70</v>
      </c>
      <c r="V93" s="19" t="s">
        <v>54</v>
      </c>
      <c r="W93" s="19" t="s">
        <v>81</v>
      </c>
      <c r="X93" s="19"/>
      <c r="Y93" s="19"/>
      <c r="Z93" s="19" t="s">
        <v>576</v>
      </c>
      <c r="AA93" s="19">
        <v>1</v>
      </c>
      <c r="AB93" s="19">
        <v>1</v>
      </c>
      <c r="AC93" s="19" t="s">
        <v>58</v>
      </c>
      <c r="AD93" s="19" t="s">
        <v>346</v>
      </c>
      <c r="AE93" s="19" t="s">
        <v>577</v>
      </c>
      <c r="AF93" s="19"/>
    </row>
    <row r="94" spans="1:34">
      <c r="A94" s="19">
        <v>86</v>
      </c>
      <c r="B94" s="19" t="s">
        <v>555</v>
      </c>
      <c r="C94" s="19" t="s">
        <v>578</v>
      </c>
      <c r="D94" s="19" t="str">
        <f>HYPERLINK("http://henontech.com/fieldsafety/harzard/harzard_show.php?rid=1022&amp;url=harzardrecs.php","清投下料筒未戴安全手套")</f>
        <v>清投下料筒未戴安全手套</v>
      </c>
      <c r="E94" s="19" t="s">
        <v>579</v>
      </c>
      <c r="F94" s="20" t="s">
        <v>42</v>
      </c>
      <c r="G94" s="22" t="s">
        <v>64</v>
      </c>
      <c r="H94" s="19" t="s">
        <v>44</v>
      </c>
      <c r="I94" s="19" t="s">
        <v>106</v>
      </c>
      <c r="J94" s="19" t="s">
        <v>182</v>
      </c>
      <c r="K94" s="19"/>
      <c r="L94" s="19" t="s">
        <v>99</v>
      </c>
      <c r="M94" s="19" t="s">
        <v>565</v>
      </c>
      <c r="N94" s="19" t="s">
        <v>580</v>
      </c>
      <c r="O94" s="19" t="s">
        <v>565</v>
      </c>
      <c r="P94" s="19" t="s">
        <v>566</v>
      </c>
      <c r="Q94" s="19" t="s">
        <v>92</v>
      </c>
      <c r="R94" s="19" t="s">
        <v>581</v>
      </c>
      <c r="S94" s="19"/>
      <c r="T94" s="19" t="s">
        <v>52</v>
      </c>
      <c r="U94" s="19" t="s">
        <v>70</v>
      </c>
      <c r="V94" s="19" t="s">
        <v>80</v>
      </c>
      <c r="W94" s="19" t="s">
        <v>55</v>
      </c>
      <c r="X94" s="19" t="s">
        <v>582</v>
      </c>
      <c r="Y94" s="19"/>
      <c r="Z94" s="19" t="s">
        <v>583</v>
      </c>
      <c r="AA94" s="19">
        <v>1</v>
      </c>
      <c r="AB94" s="19">
        <v>1</v>
      </c>
      <c r="AC94" s="19" t="s">
        <v>58</v>
      </c>
      <c r="AD94" s="19" t="s">
        <v>566</v>
      </c>
      <c r="AE94" s="19" t="s">
        <v>584</v>
      </c>
      <c r="AF94" s="19" t="s">
        <v>585</v>
      </c>
    </row>
    <row r="95" spans="1:34">
      <c r="A95" s="19">
        <v>87</v>
      </c>
      <c r="B95" s="19" t="s">
        <v>555</v>
      </c>
      <c r="C95" s="19" t="s">
        <v>586</v>
      </c>
      <c r="D95" s="19" t="str">
        <f>HYPERLINK("http://henontech.com/fieldsafety/harzard/harzard_show.php?rid=1023&amp;url=harzardrecs.php","1618加湿罐平台护栏开焊")</f>
        <v>1618加湿罐平台护栏开焊</v>
      </c>
      <c r="E95" s="19" t="s">
        <v>587</v>
      </c>
      <c r="F95" s="20" t="s">
        <v>42</v>
      </c>
      <c r="G95" s="22" t="s">
        <v>64</v>
      </c>
      <c r="H95" s="19" t="s">
        <v>44</v>
      </c>
      <c r="I95" s="19"/>
      <c r="J95" s="19" t="s">
        <v>45</v>
      </c>
      <c r="K95" s="19"/>
      <c r="L95" s="19" t="s">
        <v>99</v>
      </c>
      <c r="M95" s="19" t="s">
        <v>565</v>
      </c>
      <c r="N95" s="19" t="s">
        <v>588</v>
      </c>
      <c r="O95" s="19" t="s">
        <v>565</v>
      </c>
      <c r="P95" s="19" t="s">
        <v>566</v>
      </c>
      <c r="Q95" s="19" t="s">
        <v>575</v>
      </c>
      <c r="R95" s="19">
        <v>1618</v>
      </c>
      <c r="S95" s="19"/>
      <c r="T95" s="19" t="s">
        <v>52</v>
      </c>
      <c r="U95" s="19" t="s">
        <v>70</v>
      </c>
      <c r="V95" s="19" t="s">
        <v>54</v>
      </c>
      <c r="W95" s="19" t="s">
        <v>81</v>
      </c>
      <c r="X95" s="19" t="s">
        <v>73</v>
      </c>
      <c r="Y95" s="19"/>
      <c r="Z95" s="19" t="s">
        <v>589</v>
      </c>
      <c r="AA95" s="19">
        <v>1</v>
      </c>
      <c r="AB95" s="19">
        <v>1</v>
      </c>
      <c r="AC95" s="19" t="s">
        <v>58</v>
      </c>
      <c r="AD95" s="19" t="s">
        <v>566</v>
      </c>
      <c r="AE95" s="19" t="s">
        <v>584</v>
      </c>
      <c r="AF95" s="19"/>
    </row>
    <row r="96" spans="1:34" customHeight="1" ht="42">
      <c r="A96" s="19">
        <v>88</v>
      </c>
      <c r="B96" s="19" t="s">
        <v>584</v>
      </c>
      <c r="C96" s="19" t="s">
        <v>590</v>
      </c>
      <c r="D96" s="19" t="str">
        <f>HYPERLINK("http://henontech.com/fieldsafety/harzard/harzard_show.php?rid=1024&amp;url=harzardrecs.php","风机房钢结构腐蚀严重，职工在巡检过程中，被10米高处坠落的彩钢板砸中肩部。")</f>
        <v>风机房钢结构腐蚀严重，职工在巡检过程中，被10米高处坠落的彩钢板砸中肩部。</v>
      </c>
      <c r="E96" s="19" t="s">
        <v>591</v>
      </c>
      <c r="F96" s="20" t="s">
        <v>42</v>
      </c>
      <c r="G96" s="21" t="s">
        <v>43</v>
      </c>
      <c r="H96" s="19" t="s">
        <v>592</v>
      </c>
      <c r="I96" s="19"/>
      <c r="J96" s="19"/>
      <c r="K96" s="19" t="s">
        <v>176</v>
      </c>
      <c r="L96" s="19"/>
      <c r="M96" s="19" t="s">
        <v>334</v>
      </c>
      <c r="N96" s="19" t="s">
        <v>593</v>
      </c>
      <c r="O96" s="19" t="s">
        <v>334</v>
      </c>
      <c r="P96" s="19" t="s">
        <v>346</v>
      </c>
      <c r="Q96" s="19" t="s">
        <v>525</v>
      </c>
      <c r="R96" s="19" t="s">
        <v>594</v>
      </c>
      <c r="S96" s="19"/>
      <c r="T96" s="19" t="s">
        <v>52</v>
      </c>
      <c r="U96" s="19" t="s">
        <v>70</v>
      </c>
      <c r="V96" s="19" t="s">
        <v>71</v>
      </c>
      <c r="W96" s="19" t="s">
        <v>72</v>
      </c>
      <c r="X96" s="19"/>
      <c r="Y96" s="19"/>
      <c r="Z96" s="19" t="s">
        <v>595</v>
      </c>
      <c r="AA96" s="19">
        <v>2</v>
      </c>
      <c r="AB96" s="19">
        <v>2</v>
      </c>
      <c r="AC96" s="19" t="s">
        <v>58</v>
      </c>
      <c r="AD96" s="19" t="s">
        <v>346</v>
      </c>
      <c r="AE96" s="19" t="s">
        <v>596</v>
      </c>
      <c r="AF96" s="19"/>
    </row>
    <row r="97" spans="1:34" customHeight="1" ht="42">
      <c r="A97" s="19">
        <v>89</v>
      </c>
      <c r="B97" s="19" t="s">
        <v>584</v>
      </c>
      <c r="C97" s="19" t="s">
        <v>391</v>
      </c>
      <c r="D97" s="19" t="str">
        <f>HYPERLINK("http://henontech.com/fieldsafety/harzard/harzard_show.php?rid=1025&amp;url=harzardrecs.php","冷凝液泵进口管道漏水，致使地面有积水，导致地面湿滑，如若有人经过比较容易滑倒摔伤。")</f>
        <v>冷凝液泵进口管道漏水，致使地面有积水，导致地面湿滑，如若有人经过比较容易滑倒摔伤。</v>
      </c>
      <c r="E97" s="19" t="s">
        <v>597</v>
      </c>
      <c r="F97" s="20" t="s">
        <v>42</v>
      </c>
      <c r="G97" s="22" t="s">
        <v>64</v>
      </c>
      <c r="H97" s="19" t="s">
        <v>44</v>
      </c>
      <c r="I97" s="19" t="s">
        <v>97</v>
      </c>
      <c r="J97" s="19" t="s">
        <v>45</v>
      </c>
      <c r="K97" s="19" t="s">
        <v>108</v>
      </c>
      <c r="L97" s="19" t="s">
        <v>99</v>
      </c>
      <c r="M97" s="19" t="s">
        <v>334</v>
      </c>
      <c r="N97" s="19" t="s">
        <v>353</v>
      </c>
      <c r="O97" s="19" t="s">
        <v>334</v>
      </c>
      <c r="P97" s="19" t="s">
        <v>346</v>
      </c>
      <c r="Q97" s="19" t="s">
        <v>525</v>
      </c>
      <c r="R97" s="19" t="s">
        <v>598</v>
      </c>
      <c r="S97" s="19"/>
      <c r="T97" s="19" t="s">
        <v>52</v>
      </c>
      <c r="U97" s="19" t="s">
        <v>70</v>
      </c>
      <c r="V97" s="19" t="s">
        <v>54</v>
      </c>
      <c r="W97" s="19" t="s">
        <v>81</v>
      </c>
      <c r="X97" s="19"/>
      <c r="Y97" s="19"/>
      <c r="Z97" s="19" t="s">
        <v>599</v>
      </c>
      <c r="AA97" s="19">
        <v>2</v>
      </c>
      <c r="AB97" s="19">
        <v>1</v>
      </c>
      <c r="AC97" s="19" t="s">
        <v>58</v>
      </c>
      <c r="AD97" s="19" t="s">
        <v>346</v>
      </c>
      <c r="AE97" s="19" t="s">
        <v>600</v>
      </c>
      <c r="AF97" s="19"/>
    </row>
    <row r="98" spans="1:34">
      <c r="A98" s="19">
        <v>90</v>
      </c>
      <c r="B98" s="19" t="s">
        <v>584</v>
      </c>
      <c r="C98" s="19" t="s">
        <v>550</v>
      </c>
      <c r="D98" s="19" t="str">
        <f>HYPERLINK("http://henontech.com/fieldsafety/harzard/harzard_show.php?rid=1026&amp;url=harzardrecs.php","操作人员在正常操作时需要操作开关按钮，由于按钮处接线破损且无防雨设施，如果在雨天，人员接触按钮会造成触电死亡。")</f>
        <v>操作人员在正常操作时需要操作开关按钮，由于按钮处接线破损且无防雨设施，如果在雨天，人员接触按钮会造成触电死亡。</v>
      </c>
      <c r="E98" s="19" t="s">
        <v>601</v>
      </c>
      <c r="F98" s="20" t="s">
        <v>42</v>
      </c>
      <c r="G98" s="21" t="s">
        <v>43</v>
      </c>
      <c r="H98" s="19" t="s">
        <v>44</v>
      </c>
      <c r="I98" s="19" t="s">
        <v>119</v>
      </c>
      <c r="J98" s="19" t="s">
        <v>231</v>
      </c>
      <c r="K98" s="19"/>
      <c r="L98" s="19"/>
      <c r="M98" s="19" t="s">
        <v>334</v>
      </c>
      <c r="N98" s="19" t="s">
        <v>602</v>
      </c>
      <c r="O98" s="19" t="s">
        <v>334</v>
      </c>
      <c r="P98" s="19" t="s">
        <v>346</v>
      </c>
      <c r="Q98" s="19" t="s">
        <v>525</v>
      </c>
      <c r="R98" s="19" t="s">
        <v>603</v>
      </c>
      <c r="S98" s="19"/>
      <c r="T98" s="19" t="s">
        <v>52</v>
      </c>
      <c r="U98" s="19" t="s">
        <v>53</v>
      </c>
      <c r="V98" s="19" t="s">
        <v>71</v>
      </c>
      <c r="W98" s="19" t="s">
        <v>116</v>
      </c>
      <c r="X98" s="19"/>
      <c r="Y98" s="19"/>
      <c r="Z98" s="19" t="s">
        <v>604</v>
      </c>
      <c r="AA98" s="19">
        <v>1</v>
      </c>
      <c r="AB98" s="19">
        <v>1</v>
      </c>
      <c r="AC98" s="19" t="s">
        <v>58</v>
      </c>
      <c r="AD98" s="19" t="s">
        <v>346</v>
      </c>
      <c r="AE98" s="19" t="s">
        <v>596</v>
      </c>
      <c r="AF98" s="19"/>
    </row>
    <row r="99" spans="1:34">
      <c r="A99" s="19">
        <v>91</v>
      </c>
      <c r="B99" s="19" t="s">
        <v>584</v>
      </c>
      <c r="C99" s="19" t="s">
        <v>578</v>
      </c>
      <c r="D99" s="19" t="str">
        <f>HYPERLINK("http://henontech.com/fieldsafety/harzard/harzard_show.php?rid=1031&amp;url=harzardrecs.php","西四通廊有预埋铁件突出，操作工巡检时，左脚踢在预埋铁件上被绊倒，经送医检查左腿膝盖擦伤，在家休养一天。")</f>
        <v>西四通廊有预埋铁件突出，操作工巡检时，左脚踢在预埋铁件上被绊倒，经送医检查左腿膝盖擦伤，在家休养一天。</v>
      </c>
      <c r="E99" s="19" t="s">
        <v>605</v>
      </c>
      <c r="F99" s="20" t="s">
        <v>42</v>
      </c>
      <c r="G99" s="22" t="s">
        <v>64</v>
      </c>
      <c r="H99" s="19" t="s">
        <v>44</v>
      </c>
      <c r="I99" s="19"/>
      <c r="J99" s="19"/>
      <c r="K99" s="19" t="s">
        <v>170</v>
      </c>
      <c r="L99" s="19" t="s">
        <v>99</v>
      </c>
      <c r="M99" s="19" t="s">
        <v>565</v>
      </c>
      <c r="N99" s="19" t="s">
        <v>606</v>
      </c>
      <c r="O99" s="19" t="s">
        <v>565</v>
      </c>
      <c r="P99" s="19" t="s">
        <v>606</v>
      </c>
      <c r="Q99" s="19" t="s">
        <v>59</v>
      </c>
      <c r="R99" s="19" t="s">
        <v>607</v>
      </c>
      <c r="S99" s="19"/>
      <c r="T99" s="19" t="s">
        <v>52</v>
      </c>
      <c r="U99" s="19" t="s">
        <v>70</v>
      </c>
      <c r="V99" s="19" t="s">
        <v>71</v>
      </c>
      <c r="W99" s="19" t="s">
        <v>72</v>
      </c>
      <c r="X99" s="19"/>
      <c r="Y99" s="19"/>
      <c r="Z99" s="19" t="s">
        <v>608</v>
      </c>
      <c r="AA99" s="19">
        <v>1</v>
      </c>
      <c r="AB99" s="19">
        <v>1</v>
      </c>
      <c r="AC99" s="19" t="s">
        <v>58</v>
      </c>
      <c r="AD99" s="19" t="s">
        <v>606</v>
      </c>
      <c r="AE99" s="19" t="s">
        <v>59</v>
      </c>
      <c r="AF99" s="19" t="s">
        <v>609</v>
      </c>
    </row>
    <row r="100" spans="1:34">
      <c r="A100" s="19">
        <v>92</v>
      </c>
      <c r="B100" s="19" t="s">
        <v>584</v>
      </c>
      <c r="C100" s="19" t="s">
        <v>578</v>
      </c>
      <c r="D100" s="19" t="str">
        <f>HYPERLINK("http://henontech.com/fieldsafety/harzard/harzard_show.php?rid=1032&amp;url=harzardrecs.php","挡风网掉落，砸中下方职工背部，经送医检查背部轻微划伤，经包扎后在家休养2天复工。")</f>
        <v>挡风网掉落，砸中下方职工背部，经送医检查背部轻微划伤，经包扎后在家休养2天复工。</v>
      </c>
      <c r="E100" s="19" t="s">
        <v>610</v>
      </c>
      <c r="F100" s="20" t="s">
        <v>42</v>
      </c>
      <c r="G100" s="21" t="s">
        <v>43</v>
      </c>
      <c r="H100" s="19" t="s">
        <v>44</v>
      </c>
      <c r="I100" s="19" t="s">
        <v>97</v>
      </c>
      <c r="J100" s="19"/>
      <c r="K100" s="19" t="s">
        <v>108</v>
      </c>
      <c r="L100" s="19" t="s">
        <v>99</v>
      </c>
      <c r="M100" s="19" t="s">
        <v>565</v>
      </c>
      <c r="N100" s="19" t="s">
        <v>611</v>
      </c>
      <c r="O100" s="19" t="s">
        <v>565</v>
      </c>
      <c r="P100" s="19" t="s">
        <v>611</v>
      </c>
      <c r="Q100" s="19" t="s">
        <v>220</v>
      </c>
      <c r="R100" s="19" t="s">
        <v>612</v>
      </c>
      <c r="S100" s="19"/>
      <c r="T100" s="19" t="s">
        <v>52</v>
      </c>
      <c r="U100" s="19" t="s">
        <v>70</v>
      </c>
      <c r="V100" s="19" t="s">
        <v>71</v>
      </c>
      <c r="W100" s="19" t="s">
        <v>72</v>
      </c>
      <c r="X100" s="19"/>
      <c r="Y100" s="19"/>
      <c r="Z100" s="19" t="s">
        <v>613</v>
      </c>
      <c r="AA100" s="19">
        <v>1</v>
      </c>
      <c r="AB100" s="19">
        <v>1</v>
      </c>
      <c r="AC100" s="19" t="s">
        <v>58</v>
      </c>
      <c r="AD100" s="19" t="s">
        <v>611</v>
      </c>
      <c r="AE100" s="19" t="s">
        <v>220</v>
      </c>
      <c r="AF100" s="19" t="s">
        <v>614</v>
      </c>
    </row>
    <row r="101" spans="1:34">
      <c r="A101" s="19">
        <v>93</v>
      </c>
      <c r="B101" s="19" t="s">
        <v>584</v>
      </c>
      <c r="C101" s="19" t="s">
        <v>578</v>
      </c>
      <c r="D101" s="19" t="str">
        <f>HYPERLINK("http://henontech.com/fieldsafety/harzard/harzard_show.php?rid=1033&amp;url=harzardrecs.php","下料筒投料平台护栏开焊，投料时，平台护栏开焊，起不到防护作用，造成跌落")</f>
        <v>下料筒投料平台护栏开焊，投料时，平台护栏开焊，起不到防护作用，造成跌落</v>
      </c>
      <c r="E101" s="19" t="s">
        <v>615</v>
      </c>
      <c r="F101" s="20" t="s">
        <v>42</v>
      </c>
      <c r="G101" s="22" t="s">
        <v>64</v>
      </c>
      <c r="H101" s="19" t="s">
        <v>44</v>
      </c>
      <c r="I101" s="19"/>
      <c r="J101" s="19" t="s">
        <v>182</v>
      </c>
      <c r="K101" s="19"/>
      <c r="L101" s="19" t="s">
        <v>99</v>
      </c>
      <c r="M101" s="19" t="s">
        <v>565</v>
      </c>
      <c r="N101" s="19" t="s">
        <v>616</v>
      </c>
      <c r="O101" s="19" t="s">
        <v>565</v>
      </c>
      <c r="P101" s="19" t="s">
        <v>566</v>
      </c>
      <c r="Q101" s="19" t="s">
        <v>617</v>
      </c>
      <c r="R101" s="19" t="s">
        <v>618</v>
      </c>
      <c r="S101" s="19"/>
      <c r="T101" s="19" t="s">
        <v>52</v>
      </c>
      <c r="U101" s="19" t="s">
        <v>70</v>
      </c>
      <c r="V101" s="19" t="s">
        <v>71</v>
      </c>
      <c r="W101" s="19" t="s">
        <v>72</v>
      </c>
      <c r="X101" s="19" t="s">
        <v>73</v>
      </c>
      <c r="Y101" s="19"/>
      <c r="Z101" s="19" t="s">
        <v>619</v>
      </c>
      <c r="AA101" s="19">
        <v>1</v>
      </c>
      <c r="AB101" s="19">
        <v>1</v>
      </c>
      <c r="AC101" s="19" t="s">
        <v>58</v>
      </c>
      <c r="AD101" s="19" t="s">
        <v>566</v>
      </c>
      <c r="AE101" s="19" t="s">
        <v>59</v>
      </c>
      <c r="AF101" s="19" t="s">
        <v>620</v>
      </c>
    </row>
    <row r="102" spans="1:34">
      <c r="A102" s="19">
        <v>94</v>
      </c>
      <c r="B102" s="19" t="s">
        <v>584</v>
      </c>
      <c r="C102" s="19" t="s">
        <v>563</v>
      </c>
      <c r="D102" s="19" t="str">
        <f>HYPERLINK("http://henontech.com/fieldsafety/harzard/harzard_show.php?rid=1034&amp;url=harzardrecs.php","上下爬梯失足滑倒")</f>
        <v>上下爬梯失足滑倒</v>
      </c>
      <c r="E102" s="19" t="s">
        <v>621</v>
      </c>
      <c r="F102" s="20" t="s">
        <v>42</v>
      </c>
      <c r="G102" s="22" t="s">
        <v>64</v>
      </c>
      <c r="H102" s="19" t="s">
        <v>44</v>
      </c>
      <c r="I102" s="19"/>
      <c r="J102" s="19" t="s">
        <v>45</v>
      </c>
      <c r="K102" s="19"/>
      <c r="L102" s="19" t="s">
        <v>99</v>
      </c>
      <c r="M102" s="19" t="s">
        <v>565</v>
      </c>
      <c r="N102" s="19" t="s">
        <v>622</v>
      </c>
      <c r="O102" s="19" t="s">
        <v>565</v>
      </c>
      <c r="P102" s="19" t="s">
        <v>566</v>
      </c>
      <c r="Q102" s="19" t="s">
        <v>617</v>
      </c>
      <c r="R102" s="19" t="s">
        <v>623</v>
      </c>
      <c r="S102" s="19"/>
      <c r="T102" s="19" t="s">
        <v>52</v>
      </c>
      <c r="U102" s="19" t="s">
        <v>70</v>
      </c>
      <c r="V102" s="19" t="s">
        <v>54</v>
      </c>
      <c r="W102" s="19" t="s">
        <v>81</v>
      </c>
      <c r="X102" s="19" t="s">
        <v>323</v>
      </c>
      <c r="Y102" s="19" t="s">
        <v>323</v>
      </c>
      <c r="Z102" s="19" t="s">
        <v>624</v>
      </c>
      <c r="AA102" s="19">
        <v>1</v>
      </c>
      <c r="AB102" s="19">
        <v>1</v>
      </c>
      <c r="AC102" s="19" t="s">
        <v>58</v>
      </c>
      <c r="AD102" s="19" t="s">
        <v>566</v>
      </c>
      <c r="AE102" s="19" t="s">
        <v>451</v>
      </c>
      <c r="AF102" s="19" t="s">
        <v>625</v>
      </c>
    </row>
    <row r="103" spans="1:34">
      <c r="A103" s="19">
        <v>95</v>
      </c>
      <c r="B103" s="19" t="s">
        <v>220</v>
      </c>
      <c r="C103" s="19" t="s">
        <v>578</v>
      </c>
      <c r="D103" s="19" t="str">
        <f>HYPERLINK("http://henontech.com/fieldsafety/harzard/harzard_show.php?rid=1035&amp;url=harzardrecs.php","地面破损，一员工脚踩此处，导致右脚踝关节崴伤，就医敷药，休息两天后复工。")</f>
        <v>地面破损，一员工脚踩此处，导致右脚踝关节崴伤，就医敷药，休息两天后复工。</v>
      </c>
      <c r="E103" s="19" t="s">
        <v>626</v>
      </c>
      <c r="F103" s="20" t="s">
        <v>42</v>
      </c>
      <c r="G103" s="22" t="s">
        <v>64</v>
      </c>
      <c r="H103" s="19" t="s">
        <v>44</v>
      </c>
      <c r="I103" s="19" t="s">
        <v>119</v>
      </c>
      <c r="J103" s="19" t="s">
        <v>45</v>
      </c>
      <c r="K103" s="19" t="s">
        <v>170</v>
      </c>
      <c r="L103" s="19" t="s">
        <v>252</v>
      </c>
      <c r="M103" s="19" t="s">
        <v>565</v>
      </c>
      <c r="N103" s="19" t="s">
        <v>627</v>
      </c>
      <c r="O103" s="19" t="s">
        <v>565</v>
      </c>
      <c r="P103" s="19" t="s">
        <v>627</v>
      </c>
      <c r="Q103" s="19" t="s">
        <v>132</v>
      </c>
      <c r="R103" s="19" t="s">
        <v>628</v>
      </c>
      <c r="S103" s="19"/>
      <c r="T103" s="19" t="s">
        <v>52</v>
      </c>
      <c r="U103" s="19" t="s">
        <v>70</v>
      </c>
      <c r="V103" s="19" t="s">
        <v>71</v>
      </c>
      <c r="W103" s="19" t="s">
        <v>72</v>
      </c>
      <c r="X103" s="19"/>
      <c r="Y103" s="19"/>
      <c r="Z103" s="19" t="s">
        <v>629</v>
      </c>
      <c r="AA103" s="19">
        <v>1</v>
      </c>
      <c r="AB103" s="19">
        <v>1</v>
      </c>
      <c r="AC103" s="19" t="s">
        <v>58</v>
      </c>
      <c r="AD103" s="19" t="s">
        <v>627</v>
      </c>
      <c r="AE103" s="19" t="s">
        <v>132</v>
      </c>
      <c r="AF103" s="19" t="s">
        <v>630</v>
      </c>
    </row>
    <row r="104" spans="1:34">
      <c r="A104" s="19">
        <v>96</v>
      </c>
      <c r="B104" s="19" t="s">
        <v>220</v>
      </c>
      <c r="C104" s="19" t="s">
        <v>563</v>
      </c>
      <c r="D104" s="19" t="str">
        <f>HYPERLINK("http://henontech.com/fieldsafety/harzard/harzard_show.php?rid=1038&amp;url=harzardrecs.php","点名室前，施工队伍用铝皮覆盖电焊机用于防雨，一人在操作时触到铝皮引起触电，造成右手电伤，送医院检查右手表皮电灼伤，在家休养三天")</f>
        <v>点名室前，施工队伍用铝皮覆盖电焊机用于防雨，一人在操作时触到铝皮引起触电，造成右手电伤，送医院检查右手表皮电灼伤，在家休养三天</v>
      </c>
      <c r="E104" s="19" t="s">
        <v>631</v>
      </c>
      <c r="F104" s="23" t="s">
        <v>96</v>
      </c>
      <c r="G104" s="22" t="s">
        <v>64</v>
      </c>
      <c r="H104" s="19" t="s">
        <v>632</v>
      </c>
      <c r="I104" s="19" t="s">
        <v>97</v>
      </c>
      <c r="J104" s="19" t="s">
        <v>231</v>
      </c>
      <c r="K104" s="19" t="s">
        <v>108</v>
      </c>
      <c r="L104" s="19"/>
      <c r="M104" s="19" t="s">
        <v>565</v>
      </c>
      <c r="N104" s="19" t="s">
        <v>633</v>
      </c>
      <c r="O104" s="19"/>
      <c r="P104" s="19"/>
      <c r="Q104" s="19"/>
      <c r="R104" s="19" t="s">
        <v>634</v>
      </c>
      <c r="S104" s="19" t="s">
        <v>635</v>
      </c>
      <c r="T104" s="19" t="s">
        <v>52</v>
      </c>
      <c r="U104" s="19" t="s">
        <v>70</v>
      </c>
      <c r="V104" s="19" t="s">
        <v>124</v>
      </c>
      <c r="W104" s="19" t="s">
        <v>81</v>
      </c>
      <c r="X104" s="19"/>
      <c r="Y104" s="19"/>
      <c r="Z104" s="19"/>
      <c r="AA104" s="19">
        <v>0</v>
      </c>
      <c r="AB104" s="19"/>
      <c r="AC104" s="19" t="s">
        <v>103</v>
      </c>
      <c r="AD104" s="19"/>
      <c r="AE104" s="19"/>
      <c r="AF104" s="19"/>
    </row>
    <row r="105" spans="1:34" customHeight="1" ht="42">
      <c r="A105" s="19">
        <v>97</v>
      </c>
      <c r="B105" s="19" t="s">
        <v>220</v>
      </c>
      <c r="C105" s="19" t="s">
        <v>586</v>
      </c>
      <c r="D105" s="19" t="str">
        <f>HYPERLINK("http://henontech.com/fieldsafety/harzard/harzard_show.php?rid=1039&amp;url=harzardrecs.php","操作工行至后尾脚底踩空，安全护栏失去保护作用，造成操作工脚腕扭伤在家修养三天！")</f>
        <v>操作工行至后尾脚底踩空，安全护栏失去保护作用，造成操作工脚腕扭伤在家修养三天！</v>
      </c>
      <c r="E105" s="19" t="s">
        <v>636</v>
      </c>
      <c r="F105" s="20" t="s">
        <v>42</v>
      </c>
      <c r="G105" s="22" t="s">
        <v>64</v>
      </c>
      <c r="H105" s="19" t="s">
        <v>44</v>
      </c>
      <c r="I105" s="19" t="s">
        <v>119</v>
      </c>
      <c r="J105" s="19" t="s">
        <v>45</v>
      </c>
      <c r="K105" s="19" t="s">
        <v>216</v>
      </c>
      <c r="L105" s="19" t="s">
        <v>99</v>
      </c>
      <c r="M105" s="19" t="s">
        <v>565</v>
      </c>
      <c r="N105" s="19" t="s">
        <v>637</v>
      </c>
      <c r="O105" s="19" t="s">
        <v>565</v>
      </c>
      <c r="P105" s="19" t="s">
        <v>633</v>
      </c>
      <c r="Q105" s="19" t="s">
        <v>638</v>
      </c>
      <c r="R105" s="19" t="s">
        <v>639</v>
      </c>
      <c r="S105" s="19"/>
      <c r="T105" s="19" t="s">
        <v>52</v>
      </c>
      <c r="U105" s="19" t="s">
        <v>70</v>
      </c>
      <c r="V105" s="19" t="s">
        <v>80</v>
      </c>
      <c r="W105" s="19" t="s">
        <v>55</v>
      </c>
      <c r="X105" s="19"/>
      <c r="Y105" s="19"/>
      <c r="Z105" s="19" t="s">
        <v>640</v>
      </c>
      <c r="AA105" s="19">
        <v>2</v>
      </c>
      <c r="AB105" s="19">
        <v>1</v>
      </c>
      <c r="AC105" s="19" t="s">
        <v>58</v>
      </c>
      <c r="AD105" s="19" t="s">
        <v>633</v>
      </c>
      <c r="AE105" s="19" t="s">
        <v>641</v>
      </c>
      <c r="AF105" s="19" t="s">
        <v>330</v>
      </c>
    </row>
    <row r="106" spans="1:34" customHeight="1" ht="42">
      <c r="A106" s="19">
        <v>98</v>
      </c>
      <c r="B106" s="19" t="s">
        <v>220</v>
      </c>
      <c r="C106" s="19" t="s">
        <v>586</v>
      </c>
      <c r="D106" s="19" t="str">
        <f>HYPERLINK("http://henontech.com/fieldsafety/harzard/harzard_show.php?rid=1040&amp;url=harzardrecs.php","焦渣掺配处传动齿轮未安装防护罩，操作人员将手臂挤入齿轮中，造成右手手臂粉碎性骨折，住院治疗1个月，在家修养3个月。")</f>
        <v>焦渣掺配处传动齿轮未安装防护罩，操作人员将手臂挤入齿轮中，造成右手手臂粉碎性骨折，住院治疗1个月，在家修养3个月。</v>
      </c>
      <c r="E106" s="19" t="s">
        <v>642</v>
      </c>
      <c r="F106" s="20" t="s">
        <v>42</v>
      </c>
      <c r="G106" s="21" t="s">
        <v>43</v>
      </c>
      <c r="H106" s="19" t="s">
        <v>44</v>
      </c>
      <c r="I106" s="19" t="s">
        <v>97</v>
      </c>
      <c r="J106" s="19" t="s">
        <v>182</v>
      </c>
      <c r="K106" s="19" t="s">
        <v>98</v>
      </c>
      <c r="L106" s="19" t="s">
        <v>99</v>
      </c>
      <c r="M106" s="19" t="s">
        <v>565</v>
      </c>
      <c r="N106" s="19" t="s">
        <v>643</v>
      </c>
      <c r="O106" s="19" t="s">
        <v>565</v>
      </c>
      <c r="P106" s="19" t="s">
        <v>633</v>
      </c>
      <c r="Q106" s="19" t="s">
        <v>415</v>
      </c>
      <c r="R106" s="19" t="s">
        <v>644</v>
      </c>
      <c r="S106" s="19"/>
      <c r="T106" s="19" t="s">
        <v>52</v>
      </c>
      <c r="U106" s="19" t="s">
        <v>53</v>
      </c>
      <c r="V106" s="19" t="s">
        <v>54</v>
      </c>
      <c r="W106" s="19" t="s">
        <v>55</v>
      </c>
      <c r="X106" s="19" t="s">
        <v>73</v>
      </c>
      <c r="Y106" s="19"/>
      <c r="Z106" s="19" t="s">
        <v>645</v>
      </c>
      <c r="AA106" s="19">
        <v>2</v>
      </c>
      <c r="AB106" s="19">
        <v>1</v>
      </c>
      <c r="AC106" s="19" t="s">
        <v>58</v>
      </c>
      <c r="AD106" s="19" t="s">
        <v>633</v>
      </c>
      <c r="AE106" s="19" t="s">
        <v>646</v>
      </c>
      <c r="AF106" s="19" t="s">
        <v>647</v>
      </c>
    </row>
    <row r="107" spans="1:34">
      <c r="A107" s="19">
        <v>99</v>
      </c>
      <c r="B107" s="19" t="s">
        <v>220</v>
      </c>
      <c r="C107" s="19" t="s">
        <v>586</v>
      </c>
      <c r="D107" s="19" t="str">
        <f>HYPERLINK("http://henontech.com/fieldsafety/harzard/harzard_show.php?rid=1041&amp;url=harzardrecs.php","操作工清理下料筒被工作门上侧铁板划伤手臂，在家修养三天！")</f>
        <v>操作工清理下料筒被工作门上侧铁板划伤手臂，在家修养三天！</v>
      </c>
      <c r="E107" s="19" t="s">
        <v>648</v>
      </c>
      <c r="F107" s="20" t="s">
        <v>42</v>
      </c>
      <c r="G107" s="22" t="s">
        <v>64</v>
      </c>
      <c r="H107" s="19" t="s">
        <v>44</v>
      </c>
      <c r="I107" s="19" t="s">
        <v>106</v>
      </c>
      <c r="J107" s="19" t="s">
        <v>45</v>
      </c>
      <c r="K107" s="19" t="s">
        <v>98</v>
      </c>
      <c r="L107" s="19" t="s">
        <v>99</v>
      </c>
      <c r="M107" s="19" t="s">
        <v>565</v>
      </c>
      <c r="N107" s="19" t="s">
        <v>649</v>
      </c>
      <c r="O107" s="19" t="s">
        <v>565</v>
      </c>
      <c r="P107" s="19" t="s">
        <v>633</v>
      </c>
      <c r="Q107" s="19" t="s">
        <v>638</v>
      </c>
      <c r="R107" s="19" t="s">
        <v>650</v>
      </c>
      <c r="S107" s="19"/>
      <c r="T107" s="19" t="s">
        <v>52</v>
      </c>
      <c r="U107" s="19" t="s">
        <v>70</v>
      </c>
      <c r="V107" s="19" t="s">
        <v>80</v>
      </c>
      <c r="W107" s="19" t="s">
        <v>55</v>
      </c>
      <c r="X107" s="19"/>
      <c r="Y107" s="19"/>
      <c r="Z107" s="19" t="s">
        <v>651</v>
      </c>
      <c r="AA107" s="19">
        <v>1</v>
      </c>
      <c r="AB107" s="19">
        <v>1</v>
      </c>
      <c r="AC107" s="19" t="s">
        <v>58</v>
      </c>
      <c r="AD107" s="19" t="s">
        <v>633</v>
      </c>
      <c r="AE107" s="19" t="s">
        <v>641</v>
      </c>
      <c r="AF107" s="19" t="s">
        <v>330</v>
      </c>
    </row>
    <row r="108" spans="1:34" customHeight="1" ht="42">
      <c r="A108" s="19">
        <v>100</v>
      </c>
      <c r="B108" s="19" t="s">
        <v>220</v>
      </c>
      <c r="C108" s="19" t="s">
        <v>563</v>
      </c>
      <c r="D108" s="19" t="str">
        <f>HYPERLINK("http://henontech.com/fieldsafety/harzard/harzard_show.php?rid=1042&amp;url=harzardrecs.php","乙炔瓶气路管与裸露电缆相互叠压，裸露电缆打火引起乙炔气路管着火，导致一施工人员烧伤腿部，住院一个月，在家休养两个月")</f>
        <v>乙炔瓶气路管与裸露电缆相互叠压，裸露电缆打火引起乙炔气路管着火，导致一施工人员烧伤腿部，住院一个月，在家休养两个月</v>
      </c>
      <c r="E108" s="19" t="s">
        <v>652</v>
      </c>
      <c r="F108" s="20" t="s">
        <v>42</v>
      </c>
      <c r="G108" s="22" t="s">
        <v>64</v>
      </c>
      <c r="H108" s="19" t="s">
        <v>44</v>
      </c>
      <c r="I108" s="19" t="s">
        <v>97</v>
      </c>
      <c r="J108" s="19" t="s">
        <v>527</v>
      </c>
      <c r="K108" s="19" t="s">
        <v>98</v>
      </c>
      <c r="L108" s="19" t="s">
        <v>99</v>
      </c>
      <c r="M108" s="19" t="s">
        <v>565</v>
      </c>
      <c r="N108" s="19" t="s">
        <v>653</v>
      </c>
      <c r="O108" s="19" t="s">
        <v>565</v>
      </c>
      <c r="P108" s="19" t="s">
        <v>633</v>
      </c>
      <c r="Q108" s="19" t="s">
        <v>415</v>
      </c>
      <c r="R108" s="19" t="s">
        <v>654</v>
      </c>
      <c r="S108" s="19"/>
      <c r="T108" s="19" t="s">
        <v>52</v>
      </c>
      <c r="U108" s="19" t="s">
        <v>70</v>
      </c>
      <c r="V108" s="19" t="s">
        <v>71</v>
      </c>
      <c r="W108" s="19" t="s">
        <v>72</v>
      </c>
      <c r="X108" s="19"/>
      <c r="Y108" s="19"/>
      <c r="Z108" s="19" t="s">
        <v>655</v>
      </c>
      <c r="AA108" s="19">
        <v>2</v>
      </c>
      <c r="AB108" s="19">
        <v>1</v>
      </c>
      <c r="AC108" s="19" t="s">
        <v>58</v>
      </c>
      <c r="AD108" s="19" t="s">
        <v>633</v>
      </c>
      <c r="AE108" s="19" t="s">
        <v>641</v>
      </c>
      <c r="AF108" s="19" t="s">
        <v>656</v>
      </c>
    </row>
    <row r="109" spans="1:34">
      <c r="A109" s="19">
        <v>101</v>
      </c>
      <c r="B109" s="19" t="s">
        <v>220</v>
      </c>
      <c r="C109" s="19" t="s">
        <v>586</v>
      </c>
      <c r="D109" s="19" t="str">
        <f>HYPERLINK("http://henontech.com/fieldsafety/harzard/harzard_show.php?rid=1043&amp;url=harzardrecs.php","煤十行灯灯口损坏，漏电，操作工在操作时造成电灼伤，在家休养3天")</f>
        <v>煤十行灯灯口损坏，漏电，操作工在操作时造成电灼伤，在家休养3天</v>
      </c>
      <c r="E109" s="19" t="s">
        <v>657</v>
      </c>
      <c r="F109" s="20" t="s">
        <v>42</v>
      </c>
      <c r="G109" s="22" t="s">
        <v>64</v>
      </c>
      <c r="H109" s="19" t="s">
        <v>44</v>
      </c>
      <c r="I109" s="19" t="s">
        <v>97</v>
      </c>
      <c r="J109" s="19" t="s">
        <v>231</v>
      </c>
      <c r="K109" s="19" t="s">
        <v>98</v>
      </c>
      <c r="L109" s="19" t="s">
        <v>99</v>
      </c>
      <c r="M109" s="19" t="s">
        <v>565</v>
      </c>
      <c r="N109" s="19" t="s">
        <v>658</v>
      </c>
      <c r="O109" s="19" t="s">
        <v>565</v>
      </c>
      <c r="P109" s="19" t="s">
        <v>633</v>
      </c>
      <c r="Q109" s="19" t="s">
        <v>415</v>
      </c>
      <c r="R109" s="19" t="s">
        <v>659</v>
      </c>
      <c r="S109" s="19"/>
      <c r="T109" s="19" t="s">
        <v>52</v>
      </c>
      <c r="U109" s="19" t="s">
        <v>70</v>
      </c>
      <c r="V109" s="19" t="s">
        <v>80</v>
      </c>
      <c r="W109" s="19" t="s">
        <v>55</v>
      </c>
      <c r="X109" s="19"/>
      <c r="Y109" s="19"/>
      <c r="Z109" s="19" t="s">
        <v>660</v>
      </c>
      <c r="AA109" s="19">
        <v>1</v>
      </c>
      <c r="AB109" s="19">
        <v>1</v>
      </c>
      <c r="AC109" s="19" t="s">
        <v>58</v>
      </c>
      <c r="AD109" s="19" t="s">
        <v>633</v>
      </c>
      <c r="AE109" s="19" t="s">
        <v>641</v>
      </c>
      <c r="AF109" s="19" t="s">
        <v>330</v>
      </c>
    </row>
    <row r="110" spans="1:34" customHeight="1" ht="42">
      <c r="A110" s="19">
        <v>102</v>
      </c>
      <c r="B110" s="19" t="s">
        <v>220</v>
      </c>
      <c r="C110" s="19" t="s">
        <v>661</v>
      </c>
      <c r="D110" s="19" t="str">
        <f>HYPERLINK("http://henontech.com/fieldsafety/harzard/harzard_show.php?rid=1050&amp;url=harzardrecs.php","锅炉零米爬梯处地沟盖板缺失，巡检人员如果注意力不集中迈入地沟中造成左小腿扭伤骨折。")</f>
        <v>锅炉零米爬梯处地沟盖板缺失，巡检人员如果注意力不集中迈入地沟中造成左小腿扭伤骨折。</v>
      </c>
      <c r="E110" s="19" t="s">
        <v>662</v>
      </c>
      <c r="F110" s="20" t="s">
        <v>42</v>
      </c>
      <c r="G110" s="22" t="s">
        <v>64</v>
      </c>
      <c r="H110" s="19" t="s">
        <v>44</v>
      </c>
      <c r="I110" s="19" t="s">
        <v>106</v>
      </c>
      <c r="J110" s="19" t="s">
        <v>182</v>
      </c>
      <c r="K110" s="19"/>
      <c r="L110" s="19"/>
      <c r="M110" s="19" t="s">
        <v>663</v>
      </c>
      <c r="N110" s="19" t="s">
        <v>664</v>
      </c>
      <c r="O110" s="19" t="s">
        <v>663</v>
      </c>
      <c r="P110" s="19" t="s">
        <v>664</v>
      </c>
      <c r="Q110" s="19" t="s">
        <v>379</v>
      </c>
      <c r="R110" s="19" t="s">
        <v>665</v>
      </c>
      <c r="S110" s="19"/>
      <c r="T110" s="19" t="s">
        <v>52</v>
      </c>
      <c r="U110" s="19" t="s">
        <v>89</v>
      </c>
      <c r="V110" s="19" t="s">
        <v>71</v>
      </c>
      <c r="W110" s="19" t="s">
        <v>55</v>
      </c>
      <c r="X110" s="19" t="s">
        <v>73</v>
      </c>
      <c r="Y110" s="19"/>
      <c r="Z110" s="19" t="s">
        <v>666</v>
      </c>
      <c r="AA110" s="19">
        <v>2</v>
      </c>
      <c r="AB110" s="19">
        <v>2</v>
      </c>
      <c r="AC110" s="19" t="s">
        <v>58</v>
      </c>
      <c r="AD110" s="19" t="s">
        <v>664</v>
      </c>
      <c r="AE110" s="19" t="s">
        <v>667</v>
      </c>
      <c r="AF110" s="19" t="s">
        <v>668</v>
      </c>
    </row>
    <row r="111" spans="1:34" customHeight="1" ht="42">
      <c r="A111" s="19">
        <v>103</v>
      </c>
      <c r="B111" s="19" t="s">
        <v>92</v>
      </c>
      <c r="C111" s="19" t="s">
        <v>669</v>
      </c>
      <c r="D111" s="19" t="str">
        <f>HYPERLINK("http://henontech.com/fieldsafety/harzard/harzard_show.php?rid=1059&amp;url=harzardrecs.php","假如一名脱硝操作人员巡检时不慎踏入电缆沟内，小腿部分磕碰到电缆沟沟壁，造成小腿流血，送医治疗休养3天后恢复健康")</f>
        <v>假如一名脱硝操作人员巡检时不慎踏入电缆沟内，小腿部分磕碰到电缆沟沟壁，造成小腿流血，送医治疗休养3天后恢复健康</v>
      </c>
      <c r="E111" s="19" t="s">
        <v>670</v>
      </c>
      <c r="F111" s="20" t="s">
        <v>42</v>
      </c>
      <c r="G111" s="22" t="s">
        <v>64</v>
      </c>
      <c r="H111" s="19" t="s">
        <v>44</v>
      </c>
      <c r="I111" s="19"/>
      <c r="J111" s="19" t="s">
        <v>182</v>
      </c>
      <c r="K111" s="19" t="s">
        <v>108</v>
      </c>
      <c r="L111" s="19"/>
      <c r="M111" s="19" t="s">
        <v>671</v>
      </c>
      <c r="N111" s="19" t="s">
        <v>672</v>
      </c>
      <c r="O111" s="19" t="s">
        <v>46</v>
      </c>
      <c r="P111" s="19" t="s">
        <v>144</v>
      </c>
      <c r="Q111" s="19" t="s">
        <v>673</v>
      </c>
      <c r="R111" s="19" t="s">
        <v>46</v>
      </c>
      <c r="S111" s="19" t="s">
        <v>674</v>
      </c>
      <c r="T111" s="19" t="s">
        <v>52</v>
      </c>
      <c r="U111" s="19" t="s">
        <v>89</v>
      </c>
      <c r="V111" s="19" t="s">
        <v>71</v>
      </c>
      <c r="W111" s="19" t="s">
        <v>55</v>
      </c>
      <c r="X111" s="19" t="s">
        <v>73</v>
      </c>
      <c r="Y111" s="19"/>
      <c r="Z111" s="19" t="s">
        <v>675</v>
      </c>
      <c r="AA111" s="19">
        <v>2</v>
      </c>
      <c r="AB111" s="19">
        <v>2</v>
      </c>
      <c r="AC111" s="19" t="s">
        <v>58</v>
      </c>
      <c r="AD111" s="19" t="s">
        <v>144</v>
      </c>
      <c r="AE111" s="19" t="s">
        <v>422</v>
      </c>
      <c r="AF111" s="19"/>
    </row>
    <row r="112" spans="1:34">
      <c r="A112" s="19">
        <v>104</v>
      </c>
      <c r="B112" s="19" t="s">
        <v>132</v>
      </c>
      <c r="C112" s="19" t="s">
        <v>578</v>
      </c>
      <c r="D112" s="19" t="str">
        <f>HYPERLINK("http://henontech.com/fieldsafety/harzard/harzard_show.php?rid=1068&amp;url=harzardrecs.php","一员工路经此处不慎将左脚陷入其中，造成腿部划伤，就医包扎，休养两天后复工。")</f>
        <v>一员工路经此处不慎将左脚陷入其中，造成腿部划伤，就医包扎，休养两天后复工。</v>
      </c>
      <c r="E112" s="19" t="s">
        <v>676</v>
      </c>
      <c r="F112" s="20" t="s">
        <v>42</v>
      </c>
      <c r="G112" s="22" t="s">
        <v>64</v>
      </c>
      <c r="H112" s="19" t="s">
        <v>44</v>
      </c>
      <c r="I112" s="19" t="s">
        <v>97</v>
      </c>
      <c r="J112" s="19" t="s">
        <v>182</v>
      </c>
      <c r="K112" s="19" t="s">
        <v>108</v>
      </c>
      <c r="L112" s="19" t="s">
        <v>99</v>
      </c>
      <c r="M112" s="19" t="s">
        <v>565</v>
      </c>
      <c r="N112" s="19" t="s">
        <v>677</v>
      </c>
      <c r="O112" s="19" t="s">
        <v>565</v>
      </c>
      <c r="P112" s="19" t="s">
        <v>678</v>
      </c>
      <c r="Q112" s="19" t="s">
        <v>679</v>
      </c>
      <c r="R112" s="19" t="s">
        <v>680</v>
      </c>
      <c r="S112" s="19"/>
      <c r="T112" s="19" t="s">
        <v>52</v>
      </c>
      <c r="U112" s="19" t="s">
        <v>70</v>
      </c>
      <c r="V112" s="19" t="s">
        <v>71</v>
      </c>
      <c r="W112" s="19" t="s">
        <v>72</v>
      </c>
      <c r="X112" s="19"/>
      <c r="Y112" s="19"/>
      <c r="Z112" s="19" t="s">
        <v>681</v>
      </c>
      <c r="AA112" s="19">
        <v>1</v>
      </c>
      <c r="AB112" s="19">
        <v>1</v>
      </c>
      <c r="AC112" s="19" t="s">
        <v>58</v>
      </c>
      <c r="AD112" s="19" t="s">
        <v>678</v>
      </c>
      <c r="AE112" s="19" t="s">
        <v>382</v>
      </c>
      <c r="AF112" s="19"/>
    </row>
    <row r="113" spans="1:34">
      <c r="A113" s="19">
        <v>105</v>
      </c>
      <c r="B113" s="19" t="s">
        <v>132</v>
      </c>
      <c r="C113" s="19" t="s">
        <v>563</v>
      </c>
      <c r="D113" s="19" t="str">
        <f>HYPERLINK("http://henontech.com/fieldsafety/harzard/harzard_show.php?rid=1069&amp;url=harzardrecs.php","一员工在巡查煤气水封时，未戴护目镜，造成倒淋水溅入眼中，使眼部受伤，用清水冲洗后，就医观察治疗2天后复工。")</f>
        <v>一员工在巡查煤气水封时，未戴护目镜，造成倒淋水溅入眼中，使眼部受伤，用清水冲洗后，就医观察治疗2天后复工。</v>
      </c>
      <c r="E113" s="19" t="s">
        <v>682</v>
      </c>
      <c r="F113" s="20" t="s">
        <v>42</v>
      </c>
      <c r="G113" s="22" t="s">
        <v>64</v>
      </c>
      <c r="H113" s="19" t="s">
        <v>44</v>
      </c>
      <c r="I113" s="19" t="s">
        <v>119</v>
      </c>
      <c r="J113" s="19" t="s">
        <v>182</v>
      </c>
      <c r="K113" s="19" t="s">
        <v>98</v>
      </c>
      <c r="L113" s="19" t="s">
        <v>252</v>
      </c>
      <c r="M113" s="19" t="s">
        <v>565</v>
      </c>
      <c r="N113" s="19" t="s">
        <v>683</v>
      </c>
      <c r="O113" s="19" t="s">
        <v>565</v>
      </c>
      <c r="P113" s="19" t="s">
        <v>627</v>
      </c>
      <c r="Q113" s="19" t="s">
        <v>638</v>
      </c>
      <c r="R113" s="19" t="s">
        <v>684</v>
      </c>
      <c r="S113" s="19"/>
      <c r="T113" s="19" t="s">
        <v>52</v>
      </c>
      <c r="U113" s="19" t="s">
        <v>70</v>
      </c>
      <c r="V113" s="19" t="s">
        <v>71</v>
      </c>
      <c r="W113" s="19" t="s">
        <v>72</v>
      </c>
      <c r="X113" s="19"/>
      <c r="Y113" s="19"/>
      <c r="Z113" s="19" t="s">
        <v>685</v>
      </c>
      <c r="AA113" s="19">
        <v>1</v>
      </c>
      <c r="AB113" s="19">
        <v>1</v>
      </c>
      <c r="AC113" s="19" t="s">
        <v>58</v>
      </c>
      <c r="AD113" s="19" t="s">
        <v>627</v>
      </c>
      <c r="AE113" s="19" t="s">
        <v>382</v>
      </c>
      <c r="AF113" s="19"/>
    </row>
    <row r="114" spans="1:34">
      <c r="A114" s="19">
        <v>106</v>
      </c>
      <c r="B114" s="19" t="s">
        <v>290</v>
      </c>
      <c r="C114" s="19" t="s">
        <v>279</v>
      </c>
      <c r="D114" s="19" t="str">
        <f>HYPERLINK("http://henontech.com/fieldsafety/harzard/harzard_show.php?rid=1086&amp;url=harzardrecs.php","余热回收器导淋部分阀门及管道未及时保温，导淋部件温度较高，若雨天导淋阀门及管件遇大量低温雨水易开裂、泄漏，导致合成系统停车")</f>
        <v>余热回收器导淋部分阀门及管道未及时保温，导淋部件温度较高，若雨天导淋阀门及管件遇大量低温雨水易开裂、泄漏，导致合成系统停车</v>
      </c>
      <c r="E114" s="19" t="s">
        <v>686</v>
      </c>
      <c r="F114" s="20" t="s">
        <v>42</v>
      </c>
      <c r="G114" s="22" t="s">
        <v>64</v>
      </c>
      <c r="H114" s="19" t="s">
        <v>44</v>
      </c>
      <c r="I114" s="19" t="s">
        <v>97</v>
      </c>
      <c r="J114" s="19" t="s">
        <v>107</v>
      </c>
      <c r="K114" s="19" t="s">
        <v>98</v>
      </c>
      <c r="L114" s="19" t="s">
        <v>99</v>
      </c>
      <c r="M114" s="19" t="s">
        <v>671</v>
      </c>
      <c r="N114" s="19" t="s">
        <v>687</v>
      </c>
      <c r="O114" s="19" t="s">
        <v>241</v>
      </c>
      <c r="P114" s="19" t="s">
        <v>306</v>
      </c>
      <c r="Q114" s="19" t="s">
        <v>688</v>
      </c>
      <c r="R114" s="19" t="s">
        <v>689</v>
      </c>
      <c r="S114" s="19"/>
      <c r="T114" s="19" t="s">
        <v>78</v>
      </c>
      <c r="U114" s="19" t="s">
        <v>70</v>
      </c>
      <c r="V114" s="19" t="s">
        <v>54</v>
      </c>
      <c r="W114" s="19" t="s">
        <v>81</v>
      </c>
      <c r="X114" s="19"/>
      <c r="Y114" s="19"/>
      <c r="Z114" s="19" t="s">
        <v>690</v>
      </c>
      <c r="AA114" s="19">
        <v>1</v>
      </c>
      <c r="AB114" s="19">
        <v>1</v>
      </c>
      <c r="AC114" s="19" t="s">
        <v>58</v>
      </c>
      <c r="AD114" s="19" t="s">
        <v>306</v>
      </c>
      <c r="AE114" s="19" t="s">
        <v>691</v>
      </c>
      <c r="AF114" s="19" t="s">
        <v>692</v>
      </c>
    </row>
    <row r="115" spans="1:34">
      <c r="A115" s="19">
        <v>107</v>
      </c>
      <c r="B115" s="19" t="s">
        <v>290</v>
      </c>
      <c r="C115" s="19" t="s">
        <v>693</v>
      </c>
      <c r="D115" s="19" t="str">
        <f>HYPERLINK("http://henontech.com/fieldsafety/harzard/harzard_show.php?rid=1087&amp;url=harzardrecs.php","碳铵周转库西门口叉车频繁出入，此处未设置“当心叉车”及机动车限速等警示标志，若叉车司机忽视安全管理要求，超速行驶易伤及过往职工，造成人员人身伤害、造成限工、损工事故")</f>
        <v>碳铵周转库西门口叉车频繁出入，此处未设置“当心叉车”及机动车限速等警示标志，若叉车司机忽视安全管理要求，超速行驶易伤及过往职工，造成人员人身伤害、造成限工、损工事故</v>
      </c>
      <c r="E115" s="19" t="s">
        <v>694</v>
      </c>
      <c r="F115" s="20" t="s">
        <v>42</v>
      </c>
      <c r="G115" s="22" t="s">
        <v>64</v>
      </c>
      <c r="H115" s="19" t="s">
        <v>44</v>
      </c>
      <c r="I115" s="19" t="s">
        <v>97</v>
      </c>
      <c r="J115" s="19" t="s">
        <v>695</v>
      </c>
      <c r="K115" s="19" t="s">
        <v>98</v>
      </c>
      <c r="L115" s="19" t="s">
        <v>99</v>
      </c>
      <c r="M115" s="19" t="s">
        <v>671</v>
      </c>
      <c r="N115" s="19" t="s">
        <v>696</v>
      </c>
      <c r="O115" s="19" t="s">
        <v>241</v>
      </c>
      <c r="P115" s="19" t="s">
        <v>282</v>
      </c>
      <c r="Q115" s="19" t="s">
        <v>697</v>
      </c>
      <c r="R115" s="19" t="s">
        <v>698</v>
      </c>
      <c r="S115" s="19"/>
      <c r="T115" s="19" t="s">
        <v>52</v>
      </c>
      <c r="U115" s="19" t="s">
        <v>89</v>
      </c>
      <c r="V115" s="19" t="s">
        <v>54</v>
      </c>
      <c r="W115" s="19" t="s">
        <v>72</v>
      </c>
      <c r="X115" s="19"/>
      <c r="Y115" s="19"/>
      <c r="Z115" s="19" t="s">
        <v>699</v>
      </c>
      <c r="AA115" s="19">
        <v>1</v>
      </c>
      <c r="AB115" s="19">
        <v>1</v>
      </c>
      <c r="AC115" s="19" t="s">
        <v>58</v>
      </c>
      <c r="AD115" s="19" t="s">
        <v>282</v>
      </c>
      <c r="AE115" s="19" t="s">
        <v>700</v>
      </c>
      <c r="AF115" s="19"/>
    </row>
    <row r="116" spans="1:34">
      <c r="A116" s="19">
        <v>108</v>
      </c>
      <c r="B116" s="19" t="s">
        <v>290</v>
      </c>
      <c r="C116" s="19" t="s">
        <v>586</v>
      </c>
      <c r="D116" s="19" t="str">
        <f>HYPERLINK("http://henontech.com/fieldsafety/harzard/harzard_show.php?rid=1088&amp;url=harzardrecs.php","由于煤场入口处限高标志缺失，容易造成车辆司机不能准确判断高度，超高车辆碰撞管线桥架，蒸汽管线损坏紧急抢修，化产一套设备停运事故")</f>
        <v>由于煤场入口处限高标志缺失，容易造成车辆司机不能准确判断高度，超高车辆碰撞管线桥架，蒸汽管线损坏紧急抢修，化产一套设备停运事故</v>
      </c>
      <c r="E116" s="19" t="s">
        <v>701</v>
      </c>
      <c r="F116" s="20" t="s">
        <v>42</v>
      </c>
      <c r="G116" s="22" t="s">
        <v>64</v>
      </c>
      <c r="H116" s="19" t="s">
        <v>44</v>
      </c>
      <c r="I116" s="19" t="s">
        <v>97</v>
      </c>
      <c r="J116" s="19" t="s">
        <v>695</v>
      </c>
      <c r="K116" s="19" t="s">
        <v>108</v>
      </c>
      <c r="L116" s="19" t="s">
        <v>99</v>
      </c>
      <c r="M116" s="19" t="s">
        <v>671</v>
      </c>
      <c r="N116" s="19" t="s">
        <v>702</v>
      </c>
      <c r="O116" s="19" t="s">
        <v>565</v>
      </c>
      <c r="P116" s="19" t="s">
        <v>703</v>
      </c>
      <c r="Q116" s="19" t="s">
        <v>155</v>
      </c>
      <c r="R116" s="19" t="s">
        <v>704</v>
      </c>
      <c r="S116" s="19"/>
      <c r="T116" s="19" t="s">
        <v>78</v>
      </c>
      <c r="U116" s="19" t="s">
        <v>79</v>
      </c>
      <c r="V116" s="19" t="s">
        <v>54</v>
      </c>
      <c r="W116" s="19" t="s">
        <v>81</v>
      </c>
      <c r="X116" s="19"/>
      <c r="Y116" s="19"/>
      <c r="Z116" s="19" t="s">
        <v>705</v>
      </c>
      <c r="AA116" s="19">
        <v>1</v>
      </c>
      <c r="AB116" s="19">
        <v>1</v>
      </c>
      <c r="AC116" s="19" t="s">
        <v>58</v>
      </c>
      <c r="AD116" s="19" t="s">
        <v>703</v>
      </c>
      <c r="AE116" s="19" t="s">
        <v>706</v>
      </c>
      <c r="AF116" s="19" t="s">
        <v>707</v>
      </c>
    </row>
    <row r="117" spans="1:34" customHeight="1" ht="42">
      <c r="A117" s="19">
        <v>109</v>
      </c>
      <c r="B117" s="19" t="s">
        <v>708</v>
      </c>
      <c r="C117" s="19" t="s">
        <v>152</v>
      </c>
      <c r="D117" s="19" t="str">
        <f>HYPERLINK("http://henontech.com/fieldsafety/harzard/harzard_show.php?rid=2764&amp;url=harzardrecs.php","环境除尘放灰平台，北侧压缩空气管道离地面较高，人员经过时不慎被绊倒，手部先着地，造成手部擦伤流血。")</f>
        <v>环境除尘放灰平台，北侧压缩空气管道离地面较高，人员经过时不慎被绊倒，手部先着地，造成手部擦伤流血。</v>
      </c>
      <c r="E117" s="19" t="s">
        <v>709</v>
      </c>
      <c r="F117" s="20" t="s">
        <v>42</v>
      </c>
      <c r="G117" s="22" t="s">
        <v>64</v>
      </c>
      <c r="H117" s="19" t="s">
        <v>44</v>
      </c>
      <c r="I117" s="19"/>
      <c r="J117" s="19" t="s">
        <v>45</v>
      </c>
      <c r="K117" s="19"/>
      <c r="L117" s="19"/>
      <c r="M117" s="19" t="s">
        <v>46</v>
      </c>
      <c r="N117" s="19" t="s">
        <v>710</v>
      </c>
      <c r="O117" s="19" t="s">
        <v>46</v>
      </c>
      <c r="P117" s="19" t="s">
        <v>193</v>
      </c>
      <c r="Q117" s="19" t="s">
        <v>711</v>
      </c>
      <c r="R117" s="19" t="s">
        <v>712</v>
      </c>
      <c r="S117" s="19" t="s">
        <v>713</v>
      </c>
      <c r="T117" s="19" t="s">
        <v>52</v>
      </c>
      <c r="U117" s="19" t="s">
        <v>70</v>
      </c>
      <c r="V117" s="19" t="s">
        <v>80</v>
      </c>
      <c r="W117" s="19" t="s">
        <v>55</v>
      </c>
      <c r="X117" s="19" t="s">
        <v>90</v>
      </c>
      <c r="Y117" s="19"/>
      <c r="Z117" s="19" t="s">
        <v>714</v>
      </c>
      <c r="AA117" s="19">
        <v>2</v>
      </c>
      <c r="AB117" s="19">
        <v>2</v>
      </c>
      <c r="AC117" s="19" t="s">
        <v>58</v>
      </c>
      <c r="AD117" s="19" t="s">
        <v>193</v>
      </c>
      <c r="AE117" s="19" t="s">
        <v>715</v>
      </c>
      <c r="AF117" s="19" t="s">
        <v>716</v>
      </c>
    </row>
    <row r="118" spans="1:34">
      <c r="A118" s="19">
        <v>110</v>
      </c>
      <c r="B118" s="19" t="s">
        <v>717</v>
      </c>
      <c r="C118" s="19" t="s">
        <v>718</v>
      </c>
      <c r="D118" s="19" t="str">
        <f>HYPERLINK("http://henontech.com/fieldsafety/harzard/harzard_show.php?rid=3066&amp;url=harzardrecs.php","一名职工在巡检电解水处理器的过程中，由于电解水处理配电箱端子老化造成漏电职工触电后摔倒，造成脚部擦伤经医务室处理后继续上班后。")</f>
        <v>一名职工在巡检电解水处理器的过程中，由于电解水处理配电箱端子老化造成漏电职工触电后摔倒，造成脚部擦伤经医务室处理后继续上班后。</v>
      </c>
      <c r="E118" s="19" t="s">
        <v>719</v>
      </c>
      <c r="F118" s="20" t="s">
        <v>42</v>
      </c>
      <c r="G118" s="22" t="s">
        <v>64</v>
      </c>
      <c r="H118" s="19" t="s">
        <v>44</v>
      </c>
      <c r="I118" s="19" t="s">
        <v>97</v>
      </c>
      <c r="J118" s="19" t="s">
        <v>231</v>
      </c>
      <c r="K118" s="19" t="s">
        <v>170</v>
      </c>
      <c r="L118" s="19" t="s">
        <v>99</v>
      </c>
      <c r="M118" s="19" t="s">
        <v>334</v>
      </c>
      <c r="N118" s="19" t="s">
        <v>720</v>
      </c>
      <c r="O118" s="19" t="s">
        <v>334</v>
      </c>
      <c r="P118" s="19" t="s">
        <v>346</v>
      </c>
      <c r="Q118" s="19" t="s">
        <v>721</v>
      </c>
      <c r="R118" s="19" t="s">
        <v>722</v>
      </c>
      <c r="S118" s="19"/>
      <c r="T118" s="19" t="s">
        <v>52</v>
      </c>
      <c r="U118" s="19" t="s">
        <v>79</v>
      </c>
      <c r="V118" s="19" t="s">
        <v>54</v>
      </c>
      <c r="W118" s="19" t="s">
        <v>81</v>
      </c>
      <c r="X118" s="19"/>
      <c r="Y118" s="19"/>
      <c r="Z118" s="19" t="s">
        <v>723</v>
      </c>
      <c r="AA118" s="19">
        <v>1</v>
      </c>
      <c r="AB118" s="19">
        <v>1</v>
      </c>
      <c r="AC118" s="19" t="s">
        <v>58</v>
      </c>
      <c r="AD118" s="19" t="s">
        <v>346</v>
      </c>
      <c r="AE118" s="19" t="s">
        <v>724</v>
      </c>
      <c r="AF118" s="19"/>
    </row>
    <row r="119" spans="1:34">
      <c r="A119" s="19">
        <v>111</v>
      </c>
      <c r="B119" s="19" t="s">
        <v>725</v>
      </c>
      <c r="C119" s="19" t="s">
        <v>726</v>
      </c>
      <c r="D119" s="19" t="str">
        <f>HYPERLINK("http://henontech.com/fieldsafety/harzard/harzard_show.php?rid=3082&amp;url=harzardrecs.php","排地沟潜水泵电缆部分未加保护套，破损漏电，导致铁板连电，一巡检工经过此处时，踩踏铁板触电倒地死亡。")</f>
        <v>排地沟潜水泵电缆部分未加保护套，破损漏电，导致铁板连电，一巡检工经过此处时，踩踏铁板触电倒地死亡。</v>
      </c>
      <c r="E119" s="19" t="s">
        <v>601</v>
      </c>
      <c r="F119" s="20" t="s">
        <v>42</v>
      </c>
      <c r="G119" s="22" t="s">
        <v>64</v>
      </c>
      <c r="H119" s="19" t="s">
        <v>592</v>
      </c>
      <c r="I119" s="19" t="s">
        <v>119</v>
      </c>
      <c r="J119" s="19" t="s">
        <v>182</v>
      </c>
      <c r="K119" s="19"/>
      <c r="L119" s="19"/>
      <c r="M119" s="19" t="s">
        <v>46</v>
      </c>
      <c r="N119" s="19" t="s">
        <v>727</v>
      </c>
      <c r="O119" s="19" t="s">
        <v>46</v>
      </c>
      <c r="P119" s="19" t="s">
        <v>120</v>
      </c>
      <c r="Q119" s="19" t="s">
        <v>728</v>
      </c>
      <c r="R119" s="19" t="s">
        <v>729</v>
      </c>
      <c r="S119" s="19" t="s">
        <v>730</v>
      </c>
      <c r="T119" s="19" t="s">
        <v>52</v>
      </c>
      <c r="U119" s="19" t="s">
        <v>53</v>
      </c>
      <c r="V119" s="19" t="s">
        <v>54</v>
      </c>
      <c r="W119" s="19" t="s">
        <v>55</v>
      </c>
      <c r="X119" s="19" t="s">
        <v>73</v>
      </c>
      <c r="Y119" s="19"/>
      <c r="Z119" s="19" t="s">
        <v>731</v>
      </c>
      <c r="AA119" s="19">
        <v>1</v>
      </c>
      <c r="AB119" s="19">
        <v>1</v>
      </c>
      <c r="AC119" s="19" t="s">
        <v>58</v>
      </c>
      <c r="AD119" s="19" t="s">
        <v>120</v>
      </c>
      <c r="AE119" s="19" t="s">
        <v>732</v>
      </c>
      <c r="AF119" s="19" t="s">
        <v>733</v>
      </c>
    </row>
    <row r="120" spans="1:34">
      <c r="A120" s="19">
        <v>112</v>
      </c>
      <c r="B120" s="19" t="s">
        <v>725</v>
      </c>
      <c r="C120" s="19" t="s">
        <v>734</v>
      </c>
      <c r="D120" s="19" t="str">
        <f>HYPERLINK("http://henontech.com/fieldsafety/harzard/harzard_show.php?rid=3083&amp;url=harzardrecs.php","5.5米提升井四层西侧护栏多处腐蚀开焊，遇大风天气护栏掉落，砸伤一名巡检工，送医治疗后宣布死亡")</f>
        <v>5.5米提升井四层西侧护栏多处腐蚀开焊，遇大风天气护栏掉落，砸伤一名巡检工，送医治疗后宣布死亡</v>
      </c>
      <c r="E120" s="19" t="s">
        <v>735</v>
      </c>
      <c r="F120" s="20" t="s">
        <v>42</v>
      </c>
      <c r="G120" s="22" t="s">
        <v>64</v>
      </c>
      <c r="H120" s="19" t="s">
        <v>44</v>
      </c>
      <c r="I120" s="19" t="s">
        <v>97</v>
      </c>
      <c r="J120" s="19" t="s">
        <v>45</v>
      </c>
      <c r="K120" s="19" t="s">
        <v>108</v>
      </c>
      <c r="L120" s="19" t="s">
        <v>99</v>
      </c>
      <c r="M120" s="19" t="s">
        <v>46</v>
      </c>
      <c r="N120" s="19" t="s">
        <v>736</v>
      </c>
      <c r="O120" s="19" t="s">
        <v>46</v>
      </c>
      <c r="P120" s="19" t="s">
        <v>120</v>
      </c>
      <c r="Q120" s="19" t="s">
        <v>721</v>
      </c>
      <c r="R120" s="19" t="s">
        <v>737</v>
      </c>
      <c r="S120" s="19" t="s">
        <v>738</v>
      </c>
      <c r="T120" s="19" t="s">
        <v>52</v>
      </c>
      <c r="U120" s="19" t="s">
        <v>53</v>
      </c>
      <c r="V120" s="19" t="s">
        <v>71</v>
      </c>
      <c r="W120" s="19" t="s">
        <v>116</v>
      </c>
      <c r="X120" s="19" t="s">
        <v>73</v>
      </c>
      <c r="Y120" s="19"/>
      <c r="Z120" s="19" t="s">
        <v>739</v>
      </c>
      <c r="AA120" s="19">
        <v>1</v>
      </c>
      <c r="AB120" s="19">
        <v>1</v>
      </c>
      <c r="AC120" s="19" t="s">
        <v>58</v>
      </c>
      <c r="AD120" s="19" t="s">
        <v>120</v>
      </c>
      <c r="AE120" s="19" t="s">
        <v>732</v>
      </c>
      <c r="AF120" s="19" t="s">
        <v>740</v>
      </c>
    </row>
    <row r="121" spans="1:34">
      <c r="A121" s="19">
        <v>113</v>
      </c>
      <c r="B121" s="19" t="s">
        <v>717</v>
      </c>
      <c r="C121" s="19" t="s">
        <v>741</v>
      </c>
      <c r="D121" s="19" t="str">
        <f>HYPERLINK("http://henontech.com/fieldsafety/harzard/harzard_show.php?rid=3094&amp;url=harzardrecs.php","西硫铵二楼东侧南窗外蒸汽放散管阀门腐蚀并关不严，导致蒸汽压力高时从放散管喷溅大量蒸汽冷凝水。一名操作工在巡检经过此处时被喷溅出的大量蒸汽冷凝水烫伤后背，送医治疗一周，回家休养一周后复工，损工两周。")</f>
        <v>西硫铵二楼东侧南窗外蒸汽放散管阀门腐蚀并关不严，导致蒸汽压力高时从放散管喷溅大量蒸汽冷凝水。一名操作工在巡检经过此处时被喷溅出的大量蒸汽冷凝水烫伤后背，送医治疗一周，回家休养一周后复工，损工两周。</v>
      </c>
      <c r="E121" s="19" t="s">
        <v>742</v>
      </c>
      <c r="F121" s="20" t="s">
        <v>42</v>
      </c>
      <c r="G121" s="22" t="s">
        <v>64</v>
      </c>
      <c r="H121" s="19" t="s">
        <v>44</v>
      </c>
      <c r="I121" s="19" t="s">
        <v>119</v>
      </c>
      <c r="J121" s="19" t="s">
        <v>45</v>
      </c>
      <c r="K121" s="19"/>
      <c r="L121" s="19"/>
      <c r="M121" s="19" t="s">
        <v>334</v>
      </c>
      <c r="N121" s="19" t="s">
        <v>743</v>
      </c>
      <c r="O121" s="19" t="s">
        <v>334</v>
      </c>
      <c r="P121" s="19" t="s">
        <v>346</v>
      </c>
      <c r="Q121" s="19" t="s">
        <v>721</v>
      </c>
      <c r="R121" s="19" t="s">
        <v>744</v>
      </c>
      <c r="S121" s="19"/>
      <c r="T121" s="19" t="s">
        <v>52</v>
      </c>
      <c r="U121" s="19" t="s">
        <v>89</v>
      </c>
      <c r="V121" s="19" t="s">
        <v>71</v>
      </c>
      <c r="W121" s="19" t="s">
        <v>55</v>
      </c>
      <c r="X121" s="19"/>
      <c r="Y121" s="19"/>
      <c r="Z121" s="19" t="s">
        <v>745</v>
      </c>
      <c r="AA121" s="19">
        <v>1</v>
      </c>
      <c r="AB121" s="19">
        <v>1</v>
      </c>
      <c r="AC121" s="19" t="s">
        <v>58</v>
      </c>
      <c r="AD121" s="19" t="s">
        <v>346</v>
      </c>
      <c r="AE121" s="19" t="s">
        <v>746</v>
      </c>
      <c r="AF121" s="19"/>
    </row>
    <row r="122" spans="1:34">
      <c r="A122" s="19">
        <v>114</v>
      </c>
      <c r="B122" s="19" t="s">
        <v>717</v>
      </c>
      <c r="C122" s="19" t="s">
        <v>718</v>
      </c>
      <c r="D122" s="19" t="str">
        <f>HYPERLINK("http://henontech.com/fieldsafety/harzard/harzard_show.php?rid=3099&amp;url=harzardrecs.php","南化产循环水凉水塔顶照明灯损坏，夜间现场光线昏暗，当操作工巡检时被电机底座槽钢划伤右腿，去医务室止血包扎后，回家休息3天后复工，损工3天。")</f>
        <v>南化产循环水凉水塔顶照明灯损坏，夜间现场光线昏暗，当操作工巡检时被电机底座槽钢划伤右腿，去医务室止血包扎后，回家休息3天后复工，损工3天。</v>
      </c>
      <c r="E122" s="19" t="s">
        <v>747</v>
      </c>
      <c r="F122" s="20" t="s">
        <v>42</v>
      </c>
      <c r="G122" s="22" t="s">
        <v>64</v>
      </c>
      <c r="H122" s="19" t="s">
        <v>44</v>
      </c>
      <c r="I122" s="19" t="s">
        <v>119</v>
      </c>
      <c r="J122" s="19" t="s">
        <v>45</v>
      </c>
      <c r="K122" s="19" t="s">
        <v>108</v>
      </c>
      <c r="L122" s="19" t="s">
        <v>99</v>
      </c>
      <c r="M122" s="19" t="s">
        <v>334</v>
      </c>
      <c r="N122" s="19" t="s">
        <v>503</v>
      </c>
      <c r="O122" s="19" t="s">
        <v>334</v>
      </c>
      <c r="P122" s="19" t="s">
        <v>346</v>
      </c>
      <c r="Q122" s="19" t="s">
        <v>748</v>
      </c>
      <c r="R122" s="19" t="s">
        <v>749</v>
      </c>
      <c r="S122" s="19"/>
      <c r="T122" s="19" t="s">
        <v>52</v>
      </c>
      <c r="U122" s="19" t="s">
        <v>89</v>
      </c>
      <c r="V122" s="19" t="s">
        <v>54</v>
      </c>
      <c r="W122" s="19" t="s">
        <v>72</v>
      </c>
      <c r="X122" s="19"/>
      <c r="Y122" s="19"/>
      <c r="Z122" s="19" t="s">
        <v>750</v>
      </c>
      <c r="AA122" s="19">
        <v>1</v>
      </c>
      <c r="AB122" s="19">
        <v>1</v>
      </c>
      <c r="AC122" s="19" t="s">
        <v>58</v>
      </c>
      <c r="AD122" s="19" t="s">
        <v>346</v>
      </c>
      <c r="AE122" s="19" t="s">
        <v>751</v>
      </c>
      <c r="AF122" s="19"/>
    </row>
    <row r="123" spans="1:34">
      <c r="A123" s="19">
        <v>115</v>
      </c>
      <c r="B123" s="19" t="s">
        <v>752</v>
      </c>
      <c r="C123" s="19" t="s">
        <v>501</v>
      </c>
      <c r="D123" s="19" t="str">
        <f>HYPERLINK("http://henontech.com/fieldsafety/harzard/harzard_show.php?rid=3109&amp;url=harzardrecs.php","两盐岗位切片机东侧出料泵电机护罩腐蚀严重无法起到防护作用，当操作人员巡检时不慎碰到，被转动的风扇划伤腿部，包扎后回家休息3天后复工，损工3天")</f>
        <v>两盐岗位切片机东侧出料泵电机护罩腐蚀严重无法起到防护作用，当操作人员巡检时不慎碰到，被转动的风扇划伤腿部，包扎后回家休息3天后复工，损工3天</v>
      </c>
      <c r="E123" s="19" t="s">
        <v>753</v>
      </c>
      <c r="F123" s="20" t="s">
        <v>42</v>
      </c>
      <c r="G123" s="22" t="s">
        <v>64</v>
      </c>
      <c r="H123" s="19" t="s">
        <v>44</v>
      </c>
      <c r="I123" s="19" t="s">
        <v>97</v>
      </c>
      <c r="J123" s="19" t="s">
        <v>45</v>
      </c>
      <c r="K123" s="19" t="s">
        <v>170</v>
      </c>
      <c r="L123" s="19"/>
      <c r="M123" s="19" t="s">
        <v>334</v>
      </c>
      <c r="N123" s="19" t="s">
        <v>516</v>
      </c>
      <c r="O123" s="19" t="s">
        <v>334</v>
      </c>
      <c r="P123" s="19" t="s">
        <v>346</v>
      </c>
      <c r="Q123" s="19" t="s">
        <v>748</v>
      </c>
      <c r="R123" s="19" t="s">
        <v>754</v>
      </c>
      <c r="S123" s="19"/>
      <c r="T123" s="19" t="s">
        <v>52</v>
      </c>
      <c r="U123" s="19" t="s">
        <v>89</v>
      </c>
      <c r="V123" s="19" t="s">
        <v>54</v>
      </c>
      <c r="W123" s="19" t="s">
        <v>72</v>
      </c>
      <c r="X123" s="19"/>
      <c r="Y123" s="19"/>
      <c r="Z123" s="19" t="s">
        <v>755</v>
      </c>
      <c r="AA123" s="19">
        <v>1</v>
      </c>
      <c r="AB123" s="19">
        <v>1</v>
      </c>
      <c r="AC123" s="19" t="s">
        <v>58</v>
      </c>
      <c r="AD123" s="19" t="s">
        <v>346</v>
      </c>
      <c r="AE123" s="19" t="s">
        <v>724</v>
      </c>
      <c r="AF123" s="19"/>
    </row>
    <row r="124" spans="1:34">
      <c r="A124" s="19">
        <v>116</v>
      </c>
      <c r="B124" s="19" t="s">
        <v>756</v>
      </c>
      <c r="C124" s="19" t="s">
        <v>586</v>
      </c>
      <c r="D124" s="19" t="str">
        <f>HYPERLINK("http://henontech.com/fieldsafety/harzard/harzard_show.php?rid=3142&amp;url=harzardrecs.php","1618操作工未按照工具使用要求将用完的工具放到指定位置，随手将用完的钢钎放在了高处的钢平台上，在清理钢平台下方的出料筒时，钢钎坠落造成操作工右侧锁骨骨折，住院15天，在家修养3个月。")</f>
        <v>1618操作工未按照工具使用要求将用完的工具放到指定位置，随手将用完的钢钎放在了高处的钢平台上，在清理钢平台下方的出料筒时，钢钎坠落造成操作工右侧锁骨骨折，住院15天，在家修养3个月。</v>
      </c>
      <c r="E124" s="19" t="s">
        <v>757</v>
      </c>
      <c r="F124" s="20" t="s">
        <v>42</v>
      </c>
      <c r="G124" s="22" t="s">
        <v>64</v>
      </c>
      <c r="H124" s="19" t="s">
        <v>44</v>
      </c>
      <c r="I124" s="19"/>
      <c r="J124" s="19"/>
      <c r="K124" s="19"/>
      <c r="L124" s="19" t="s">
        <v>99</v>
      </c>
      <c r="M124" s="19" t="s">
        <v>565</v>
      </c>
      <c r="N124" s="19" t="s">
        <v>758</v>
      </c>
      <c r="O124" s="19" t="s">
        <v>565</v>
      </c>
      <c r="P124" s="19" t="s">
        <v>633</v>
      </c>
      <c r="Q124" s="19" t="s">
        <v>759</v>
      </c>
      <c r="R124" s="19" t="s">
        <v>650</v>
      </c>
      <c r="S124" s="19"/>
      <c r="T124" s="19" t="s">
        <v>52</v>
      </c>
      <c r="U124" s="19" t="s">
        <v>89</v>
      </c>
      <c r="V124" s="19" t="s">
        <v>80</v>
      </c>
      <c r="W124" s="19" t="s">
        <v>116</v>
      </c>
      <c r="X124" s="19"/>
      <c r="Y124" s="19"/>
      <c r="Z124" s="19" t="s">
        <v>760</v>
      </c>
      <c r="AA124" s="19">
        <v>1</v>
      </c>
      <c r="AB124" s="19">
        <v>1</v>
      </c>
      <c r="AC124" s="19" t="s">
        <v>58</v>
      </c>
      <c r="AD124" s="19" t="s">
        <v>633</v>
      </c>
      <c r="AE124" s="19" t="s">
        <v>761</v>
      </c>
      <c r="AF124" s="19"/>
    </row>
    <row r="125" spans="1:34">
      <c r="A125" s="19">
        <v>117</v>
      </c>
      <c r="B125" s="19" t="s">
        <v>756</v>
      </c>
      <c r="C125" s="19" t="s">
        <v>741</v>
      </c>
      <c r="D125" s="19" t="str">
        <f>HYPERLINK("http://henontech.com/fieldsafety/harzard/harzard_show.php?rid=3143&amp;url=harzardrecs.php","地沟盖板老化开裂，假如一名巡检工夜晚巡检到此处时，由于光线较暗，右脚踩在老化开裂的地沟盖板上，盖板断裂，右脚踏空陷入地沟内，造成小腿前部肌肉挫伤，去医院简单治疗后回家修养三天。")</f>
        <v>地沟盖板老化开裂，假如一名巡检工夜晚巡检到此处时，由于光线较暗，右脚踩在老化开裂的地沟盖板上，盖板断裂，右脚踏空陷入地沟内，造成小腿前部肌肉挫伤，去医院简单治疗后回家修养三天。</v>
      </c>
      <c r="E125" s="19" t="s">
        <v>762</v>
      </c>
      <c r="F125" s="20" t="s">
        <v>42</v>
      </c>
      <c r="G125" s="22" t="s">
        <v>64</v>
      </c>
      <c r="H125" s="19" t="s">
        <v>44</v>
      </c>
      <c r="I125" s="19" t="s">
        <v>119</v>
      </c>
      <c r="J125" s="19" t="s">
        <v>45</v>
      </c>
      <c r="K125" s="19" t="s">
        <v>108</v>
      </c>
      <c r="L125" s="19"/>
      <c r="M125" s="19" t="s">
        <v>334</v>
      </c>
      <c r="N125" s="19" t="s">
        <v>466</v>
      </c>
      <c r="O125" s="19" t="s">
        <v>334</v>
      </c>
      <c r="P125" s="19" t="s">
        <v>346</v>
      </c>
      <c r="Q125" s="19" t="s">
        <v>763</v>
      </c>
      <c r="R125" s="19" t="s">
        <v>764</v>
      </c>
      <c r="S125" s="19"/>
      <c r="T125" s="19" t="s">
        <v>52</v>
      </c>
      <c r="U125" s="19" t="s">
        <v>89</v>
      </c>
      <c r="V125" s="19" t="s">
        <v>71</v>
      </c>
      <c r="W125" s="19" t="s">
        <v>55</v>
      </c>
      <c r="X125" s="19"/>
      <c r="Y125" s="19"/>
      <c r="Z125" s="19" t="s">
        <v>765</v>
      </c>
      <c r="AA125" s="19">
        <v>1</v>
      </c>
      <c r="AB125" s="19">
        <v>1</v>
      </c>
      <c r="AC125" s="19" t="s">
        <v>58</v>
      </c>
      <c r="AD125" s="19" t="s">
        <v>346</v>
      </c>
      <c r="AE125" s="19" t="s">
        <v>751</v>
      </c>
      <c r="AF125" s="19"/>
    </row>
    <row r="126" spans="1:34">
      <c r="A126" s="19">
        <v>118</v>
      </c>
      <c r="B126" s="19" t="s">
        <v>756</v>
      </c>
      <c r="C126" s="19" t="s">
        <v>766</v>
      </c>
      <c r="D126" s="19" t="str">
        <f>HYPERLINK("http://henontech.com/fieldsafety/harzard/harzard_show.php?rid=3145&amp;url=harzardrecs.php","2#站主塔管道腐蚀严重，致使塔内污水泄露，腐蚀地面")</f>
        <v>2#站主塔管道腐蚀严重，致使塔内污水泄露，腐蚀地面</v>
      </c>
      <c r="E126" s="19" t="s">
        <v>767</v>
      </c>
      <c r="F126" s="20" t="s">
        <v>42</v>
      </c>
      <c r="G126" s="22" t="s">
        <v>64</v>
      </c>
      <c r="H126" s="19" t="s">
        <v>44</v>
      </c>
      <c r="I126" s="19"/>
      <c r="J126" s="19" t="s">
        <v>768</v>
      </c>
      <c r="K126" s="19" t="s">
        <v>108</v>
      </c>
      <c r="L126" s="19" t="s">
        <v>99</v>
      </c>
      <c r="M126" s="19" t="s">
        <v>232</v>
      </c>
      <c r="N126" s="19" t="s">
        <v>461</v>
      </c>
      <c r="O126" s="19" t="s">
        <v>232</v>
      </c>
      <c r="P126" s="19" t="s">
        <v>234</v>
      </c>
      <c r="Q126" s="19" t="s">
        <v>769</v>
      </c>
      <c r="R126" s="19" t="s">
        <v>418</v>
      </c>
      <c r="S126" s="19" t="s">
        <v>770</v>
      </c>
      <c r="T126" s="19" t="s">
        <v>200</v>
      </c>
      <c r="U126" s="19" t="s">
        <v>79</v>
      </c>
      <c r="V126" s="19" t="s">
        <v>80</v>
      </c>
      <c r="W126" s="19" t="s">
        <v>81</v>
      </c>
      <c r="X126" s="19" t="s">
        <v>771</v>
      </c>
      <c r="Y126" s="19" t="s">
        <v>771</v>
      </c>
      <c r="Z126" s="19" t="s">
        <v>772</v>
      </c>
      <c r="AA126" s="19">
        <v>1</v>
      </c>
      <c r="AB126" s="19">
        <v>1</v>
      </c>
      <c r="AC126" s="19" t="s">
        <v>58</v>
      </c>
      <c r="AD126" s="19" t="s">
        <v>234</v>
      </c>
      <c r="AE126" s="19" t="s">
        <v>773</v>
      </c>
      <c r="AF126" s="19" t="s">
        <v>774</v>
      </c>
    </row>
    <row r="127" spans="1:34">
      <c r="A127" s="19">
        <v>119</v>
      </c>
      <c r="B127" s="19" t="s">
        <v>775</v>
      </c>
      <c r="C127" s="19" t="s">
        <v>718</v>
      </c>
      <c r="D127" s="19" t="str">
        <f>HYPERLINK("http://henontech.com/fieldsafety/harzard/harzard_show.php?rid=3156&amp;url=harzardrecs.php","一名操作工在电捕水封槽处巡检时，因防雨棚一横梁腐烂滑脱坠落，砸中该操作工左肩，送医救治诊断为肩胛骨骨折，治疗两个月后恢复出院，损工两个月。")</f>
        <v>一名操作工在电捕水封槽处巡检时，因防雨棚一横梁腐烂滑脱坠落，砸中该操作工左肩，送医救治诊断为肩胛骨骨折，治疗两个月后恢复出院，损工两个月。</v>
      </c>
      <c r="E127" s="19" t="s">
        <v>776</v>
      </c>
      <c r="F127" s="20" t="s">
        <v>42</v>
      </c>
      <c r="G127" s="22" t="s">
        <v>64</v>
      </c>
      <c r="H127" s="19" t="s">
        <v>44</v>
      </c>
      <c r="I127" s="19" t="s">
        <v>97</v>
      </c>
      <c r="J127" s="19" t="s">
        <v>45</v>
      </c>
      <c r="K127" s="19" t="s">
        <v>108</v>
      </c>
      <c r="L127" s="19" t="s">
        <v>99</v>
      </c>
      <c r="M127" s="19" t="s">
        <v>334</v>
      </c>
      <c r="N127" s="19" t="s">
        <v>777</v>
      </c>
      <c r="O127" s="19" t="s">
        <v>334</v>
      </c>
      <c r="P127" s="19" t="s">
        <v>346</v>
      </c>
      <c r="Q127" s="19" t="s">
        <v>763</v>
      </c>
      <c r="R127" s="19" t="s">
        <v>778</v>
      </c>
      <c r="S127" s="19"/>
      <c r="T127" s="19" t="s">
        <v>52</v>
      </c>
      <c r="U127" s="19" t="s">
        <v>89</v>
      </c>
      <c r="V127" s="19" t="s">
        <v>80</v>
      </c>
      <c r="W127" s="19" t="s">
        <v>116</v>
      </c>
      <c r="X127" s="19"/>
      <c r="Y127" s="19"/>
      <c r="Z127" s="19" t="s">
        <v>779</v>
      </c>
      <c r="AA127" s="19">
        <v>1</v>
      </c>
      <c r="AB127" s="19">
        <v>1</v>
      </c>
      <c r="AC127" s="19" t="s">
        <v>58</v>
      </c>
      <c r="AD127" s="19" t="s">
        <v>346</v>
      </c>
      <c r="AE127" s="19" t="s">
        <v>751</v>
      </c>
      <c r="AF127" s="19"/>
    </row>
    <row r="128" spans="1:34">
      <c r="A128" s="19">
        <v>120</v>
      </c>
      <c r="B128" s="19" t="s">
        <v>775</v>
      </c>
      <c r="C128" s="19" t="s">
        <v>372</v>
      </c>
      <c r="D128" s="19" t="str">
        <f>HYPERLINK("http://henontech.com/fieldsafety/harzard/harzard_show.php?rid=3167&amp;url=harzardrecs.php","清水池池面现场混乱，地面电缆线乱作一团，操作工在取样时被电缆线绊倒，致右腿膝盖软组织挫伤，无损工事故")</f>
        <v>清水池池面现场混乱，地面电缆线乱作一团，操作工在取样时被电缆线绊倒，致右腿膝盖软组织挫伤，无损工事故</v>
      </c>
      <c r="E128" s="19" t="s">
        <v>780</v>
      </c>
      <c r="F128" s="20" t="s">
        <v>42</v>
      </c>
      <c r="G128" s="22" t="s">
        <v>64</v>
      </c>
      <c r="H128" s="19" t="s">
        <v>44</v>
      </c>
      <c r="I128" s="19" t="s">
        <v>119</v>
      </c>
      <c r="J128" s="19" t="s">
        <v>527</v>
      </c>
      <c r="K128" s="19" t="s">
        <v>108</v>
      </c>
      <c r="L128" s="19" t="s">
        <v>99</v>
      </c>
      <c r="M128" s="19" t="s">
        <v>232</v>
      </c>
      <c r="N128" s="19" t="s">
        <v>374</v>
      </c>
      <c r="O128" s="19" t="s">
        <v>232</v>
      </c>
      <c r="P128" s="19" t="s">
        <v>234</v>
      </c>
      <c r="Q128" s="19" t="s">
        <v>781</v>
      </c>
      <c r="R128" s="19" t="s">
        <v>423</v>
      </c>
      <c r="S128" s="19"/>
      <c r="T128" s="19" t="s">
        <v>52</v>
      </c>
      <c r="U128" s="19" t="s">
        <v>70</v>
      </c>
      <c r="V128" s="19" t="s">
        <v>80</v>
      </c>
      <c r="W128" s="19" t="s">
        <v>55</v>
      </c>
      <c r="X128" s="19" t="s">
        <v>73</v>
      </c>
      <c r="Y128" s="19" t="s">
        <v>73</v>
      </c>
      <c r="Z128" s="19" t="s">
        <v>782</v>
      </c>
      <c r="AA128" s="19">
        <v>1</v>
      </c>
      <c r="AB128" s="19">
        <v>1</v>
      </c>
      <c r="AC128" s="19" t="s">
        <v>58</v>
      </c>
      <c r="AD128" s="19" t="s">
        <v>234</v>
      </c>
      <c r="AE128" s="19" t="s">
        <v>773</v>
      </c>
      <c r="AF128" s="19" t="s">
        <v>783</v>
      </c>
    </row>
    <row r="129" spans="1:34">
      <c r="A129" s="19">
        <v>121</v>
      </c>
      <c r="B129" s="19" t="s">
        <v>784</v>
      </c>
      <c r="C129" s="19" t="s">
        <v>785</v>
      </c>
      <c r="D129" s="19" t="str">
        <f>HYPERLINK("http://henontech.com/fieldsafety/harzard/harzard_show.php?rid=3187&amp;url=harzardrecs.php","浓水处理液碱罐未设置半面罩，假如一名维修工人维修该处管线，管线内的液碱溅出进入维修人员眼内，造成眼睛灼伤送医治疗2个月后复工。")</f>
        <v>浓水处理液碱罐未设置半面罩，假如一名维修工人维修该处管线，管线内的液碱溅出进入维修人员眼内，造成眼睛灼伤送医治疗2个月后复工。</v>
      </c>
      <c r="E129" s="19" t="s">
        <v>786</v>
      </c>
      <c r="F129" s="20" t="s">
        <v>42</v>
      </c>
      <c r="G129" s="22" t="s">
        <v>64</v>
      </c>
      <c r="H129" s="19" t="s">
        <v>44</v>
      </c>
      <c r="I129" s="19"/>
      <c r="J129" s="19" t="s">
        <v>45</v>
      </c>
      <c r="K129" s="19"/>
      <c r="L129" s="19" t="s">
        <v>99</v>
      </c>
      <c r="M129" s="19" t="s">
        <v>671</v>
      </c>
      <c r="N129" s="19" t="s">
        <v>672</v>
      </c>
      <c r="O129" s="19" t="s">
        <v>232</v>
      </c>
      <c r="P129" s="19" t="s">
        <v>234</v>
      </c>
      <c r="Q129" s="19" t="s">
        <v>781</v>
      </c>
      <c r="R129" s="19" t="s">
        <v>232</v>
      </c>
      <c r="S129" s="19"/>
      <c r="T129" s="19" t="s">
        <v>52</v>
      </c>
      <c r="U129" s="19" t="s">
        <v>89</v>
      </c>
      <c r="V129" s="19" t="s">
        <v>71</v>
      </c>
      <c r="W129" s="19" t="s">
        <v>55</v>
      </c>
      <c r="X129" s="19"/>
      <c r="Y129" s="19"/>
      <c r="Z129" s="19" t="s">
        <v>787</v>
      </c>
      <c r="AA129" s="19">
        <v>1</v>
      </c>
      <c r="AB129" s="19">
        <v>1</v>
      </c>
      <c r="AC129" s="19" t="s">
        <v>58</v>
      </c>
      <c r="AD129" s="19" t="s">
        <v>234</v>
      </c>
      <c r="AE129" s="19" t="s">
        <v>788</v>
      </c>
      <c r="AF129" s="19"/>
    </row>
    <row r="130" spans="1:34">
      <c r="A130" s="19">
        <v>122</v>
      </c>
      <c r="B130" s="19" t="s">
        <v>784</v>
      </c>
      <c r="C130" s="19" t="s">
        <v>789</v>
      </c>
      <c r="D130" s="19" t="str">
        <f>HYPERLINK("http://henontech.com/fieldsafety/harzard/harzard_show.php?rid=3188&amp;url=harzardrecs.php","深度处理东侧水池临时线路未架空,放置在地上线缆容易磨损漏电,一旦巡检人员不慎踩到磨损线路,造成触电,送医院抢救无效死亡。")</f>
        <v>深度处理东侧水池临时线路未架空,放置在地上线缆容易磨损漏电,一旦巡检人员不慎踩到磨损线路,造成触电,送医院抢救无效死亡。</v>
      </c>
      <c r="E130" s="19" t="s">
        <v>601</v>
      </c>
      <c r="F130" s="20" t="s">
        <v>42</v>
      </c>
      <c r="G130" s="22" t="s">
        <v>64</v>
      </c>
      <c r="H130" s="19" t="s">
        <v>44</v>
      </c>
      <c r="I130" s="19"/>
      <c r="J130" s="19" t="s">
        <v>231</v>
      </c>
      <c r="K130" s="19" t="s">
        <v>108</v>
      </c>
      <c r="L130" s="19"/>
      <c r="M130" s="19" t="s">
        <v>671</v>
      </c>
      <c r="N130" s="19" t="s">
        <v>702</v>
      </c>
      <c r="O130" s="19" t="s">
        <v>232</v>
      </c>
      <c r="P130" s="19" t="s">
        <v>234</v>
      </c>
      <c r="Q130" s="19" t="s">
        <v>781</v>
      </c>
      <c r="R130" s="19" t="s">
        <v>790</v>
      </c>
      <c r="S130" s="19"/>
      <c r="T130" s="19" t="s">
        <v>52</v>
      </c>
      <c r="U130" s="19" t="s">
        <v>53</v>
      </c>
      <c r="V130" s="19" t="s">
        <v>54</v>
      </c>
      <c r="W130" s="19" t="s">
        <v>55</v>
      </c>
      <c r="X130" s="19" t="s">
        <v>73</v>
      </c>
      <c r="Y130" s="19" t="s">
        <v>73</v>
      </c>
      <c r="Z130" s="19" t="s">
        <v>791</v>
      </c>
      <c r="AA130" s="19">
        <v>1</v>
      </c>
      <c r="AB130" s="19">
        <v>1</v>
      </c>
      <c r="AC130" s="19" t="s">
        <v>58</v>
      </c>
      <c r="AD130" s="19" t="s">
        <v>234</v>
      </c>
      <c r="AE130" s="19" t="s">
        <v>773</v>
      </c>
      <c r="AF130" s="19" t="s">
        <v>792</v>
      </c>
    </row>
    <row r="131" spans="1:34" customHeight="1" ht="42">
      <c r="A131" s="19">
        <v>123</v>
      </c>
      <c r="B131" s="19" t="s">
        <v>793</v>
      </c>
      <c r="C131" s="19" t="s">
        <v>794</v>
      </c>
      <c r="D131" s="19" t="str">
        <f>HYPERLINK("http://henontech.com/fieldsafety/harzard/harzard_show.php?rid=3213&amp;url=harzardrecs.php","筛焦楼操作工从振动筛北侧向焦四机头巡检时，因滑道砖长期未用，捆绑绳老化断裂歪倒砸在巡检经过的操作工腿部将其砸伤，另一操作工发现简单包扎后及时送医治疗，诊断为右腿骨折住院治疗30天回家休养5个月复工。")</f>
        <v>筛焦楼操作工从振动筛北侧向焦四机头巡检时，因滑道砖长期未用，捆绑绳老化断裂歪倒砸在巡检经过的操作工腿部将其砸伤，另一操作工发现简单包扎后及时送医治疗，诊断为右腿骨折住院治疗30天回家休养5个月复工。</v>
      </c>
      <c r="E131" s="19" t="s">
        <v>795</v>
      </c>
      <c r="F131" s="20" t="s">
        <v>42</v>
      </c>
      <c r="G131" s="21" t="s">
        <v>43</v>
      </c>
      <c r="H131" s="19" t="s">
        <v>44</v>
      </c>
      <c r="I131" s="19" t="s">
        <v>119</v>
      </c>
      <c r="J131" s="19" t="s">
        <v>182</v>
      </c>
      <c r="K131" s="19" t="s">
        <v>176</v>
      </c>
      <c r="L131" s="19" t="s">
        <v>99</v>
      </c>
      <c r="M131" s="19" t="s">
        <v>46</v>
      </c>
      <c r="N131" s="19" t="s">
        <v>796</v>
      </c>
      <c r="O131" s="19" t="s">
        <v>46</v>
      </c>
      <c r="P131" s="19" t="s">
        <v>134</v>
      </c>
      <c r="Q131" s="19" t="s">
        <v>797</v>
      </c>
      <c r="R131" s="19" t="s">
        <v>798</v>
      </c>
      <c r="S131" s="19"/>
      <c r="T131" s="19" t="s">
        <v>52</v>
      </c>
      <c r="U131" s="19" t="s">
        <v>89</v>
      </c>
      <c r="V131" s="19" t="s">
        <v>71</v>
      </c>
      <c r="W131" s="19" t="s">
        <v>55</v>
      </c>
      <c r="X131" s="19" t="s">
        <v>90</v>
      </c>
      <c r="Y131" s="19"/>
      <c r="Z131" s="19" t="s">
        <v>799</v>
      </c>
      <c r="AA131" s="19">
        <v>2</v>
      </c>
      <c r="AB131" s="19">
        <v>2</v>
      </c>
      <c r="AC131" s="19" t="s">
        <v>58</v>
      </c>
      <c r="AD131" s="19" t="s">
        <v>134</v>
      </c>
      <c r="AE131" s="19" t="s">
        <v>800</v>
      </c>
      <c r="AF131" s="19" t="s">
        <v>801</v>
      </c>
    </row>
    <row r="132" spans="1:34">
      <c r="A132" s="19">
        <v>124</v>
      </c>
      <c r="B132" s="19" t="s">
        <v>802</v>
      </c>
      <c r="C132" s="19" t="s">
        <v>803</v>
      </c>
      <c r="D132" s="19" t="str">
        <f>HYPERLINK("http://henontech.com/fieldsafety/harzard/harzard_show.php?rid=3223&amp;url=harzardrecs.php","南脱硫溶液缓冲槽处，有电源仪表线不规范脱落至地面，如果操作人员在此处操作时，误触电源线造成触电击倒，送医院治疗一个月，在家修养一个月，损工61天。")</f>
        <v>南脱硫溶液缓冲槽处，有电源仪表线不规范脱落至地面，如果操作人员在此处操作时，误触电源线造成触电击倒，送医院治疗一个月，在家修养一个月，损工61天。</v>
      </c>
      <c r="E132" s="19" t="s">
        <v>804</v>
      </c>
      <c r="F132" s="20" t="s">
        <v>42</v>
      </c>
      <c r="G132" s="22" t="s">
        <v>64</v>
      </c>
      <c r="H132" s="19" t="s">
        <v>44</v>
      </c>
      <c r="I132" s="19" t="s">
        <v>119</v>
      </c>
      <c r="J132" s="19" t="s">
        <v>231</v>
      </c>
      <c r="K132" s="19"/>
      <c r="L132" s="19"/>
      <c r="M132" s="19" t="s">
        <v>334</v>
      </c>
      <c r="N132" s="19" t="s">
        <v>528</v>
      </c>
      <c r="O132" s="19" t="s">
        <v>334</v>
      </c>
      <c r="P132" s="19" t="s">
        <v>346</v>
      </c>
      <c r="Q132" s="19" t="s">
        <v>797</v>
      </c>
      <c r="R132" s="19" t="s">
        <v>805</v>
      </c>
      <c r="S132" s="19"/>
      <c r="T132" s="19" t="s">
        <v>52</v>
      </c>
      <c r="U132" s="19" t="s">
        <v>89</v>
      </c>
      <c r="V132" s="19" t="s">
        <v>71</v>
      </c>
      <c r="W132" s="19" t="s">
        <v>55</v>
      </c>
      <c r="X132" s="19"/>
      <c r="Y132" s="19"/>
      <c r="Z132" s="19" t="s">
        <v>806</v>
      </c>
      <c r="AA132" s="19">
        <v>1</v>
      </c>
      <c r="AB132" s="19">
        <v>1</v>
      </c>
      <c r="AC132" s="19" t="s">
        <v>58</v>
      </c>
      <c r="AD132" s="19" t="s">
        <v>346</v>
      </c>
      <c r="AE132" s="19" t="s">
        <v>807</v>
      </c>
      <c r="AF132" s="19"/>
    </row>
    <row r="133" spans="1:34">
      <c r="A133" s="19">
        <v>125</v>
      </c>
      <c r="B133" s="19" t="s">
        <v>808</v>
      </c>
      <c r="C133" s="19" t="s">
        <v>809</v>
      </c>
      <c r="D133" s="19" t="str">
        <f>HYPERLINK("http://henontech.com/fieldsafety/harzard/harzard_show.php?rid=3265&amp;url=harzardrecs.php","南风机水封槽顶部防雨棚支架腐蚀断裂，一名巡检人员如果在大风天气经过此处有可能会被大风吹掉落的铁管砸中肩部，造成肩部轻微擦伤")</f>
        <v>南风机水封槽顶部防雨棚支架腐蚀断裂，一名巡检人员如果在大风天气经过此处有可能会被大风吹掉落的铁管砸中肩部，造成肩部轻微擦伤</v>
      </c>
      <c r="E133" s="19" t="s">
        <v>810</v>
      </c>
      <c r="F133" s="20" t="s">
        <v>42</v>
      </c>
      <c r="G133" s="22" t="s">
        <v>64</v>
      </c>
      <c r="H133" s="19" t="s">
        <v>44</v>
      </c>
      <c r="I133" s="19" t="s">
        <v>119</v>
      </c>
      <c r="J133" s="19" t="s">
        <v>45</v>
      </c>
      <c r="K133" s="19" t="s">
        <v>98</v>
      </c>
      <c r="L133" s="19" t="s">
        <v>99</v>
      </c>
      <c r="M133" s="19" t="s">
        <v>334</v>
      </c>
      <c r="N133" s="19" t="s">
        <v>811</v>
      </c>
      <c r="O133" s="19" t="s">
        <v>334</v>
      </c>
      <c r="P133" s="19" t="s">
        <v>346</v>
      </c>
      <c r="Q133" s="19" t="s">
        <v>812</v>
      </c>
      <c r="R133" s="19" t="s">
        <v>813</v>
      </c>
      <c r="S133" s="19"/>
      <c r="T133" s="19" t="s">
        <v>52</v>
      </c>
      <c r="U133" s="19" t="s">
        <v>70</v>
      </c>
      <c r="V133" s="19" t="s">
        <v>54</v>
      </c>
      <c r="W133" s="19" t="s">
        <v>81</v>
      </c>
      <c r="X133" s="19"/>
      <c r="Y133" s="19"/>
      <c r="Z133" s="19" t="s">
        <v>814</v>
      </c>
      <c r="AA133" s="19">
        <v>1</v>
      </c>
      <c r="AB133" s="19">
        <v>1</v>
      </c>
      <c r="AC133" s="19" t="s">
        <v>58</v>
      </c>
      <c r="AD133" s="19" t="s">
        <v>346</v>
      </c>
      <c r="AE133" s="19" t="s">
        <v>751</v>
      </c>
      <c r="AF133" s="19"/>
    </row>
    <row r="134" spans="1:34">
      <c r="A134" s="19">
        <v>126</v>
      </c>
      <c r="B134" s="19" t="s">
        <v>808</v>
      </c>
      <c r="C134" s="19" t="s">
        <v>815</v>
      </c>
      <c r="D134" s="19" t="str">
        <f>HYPERLINK("http://henontech.com/fieldsafety/harzard/harzard_show.php?rid=3266&amp;url=harzardrecs.php","两盐北大门上方挡雨板脱落，挂在大门上方，一名操作工经过门口时，被大风刮落的铁皮擦伤面部，未影响正常工作。")</f>
        <v>两盐北大门上方挡雨板脱落，挂在大门上方，一名操作工经过门口时，被大风刮落的铁皮擦伤面部，未影响正常工作。</v>
      </c>
      <c r="E134" s="19" t="s">
        <v>816</v>
      </c>
      <c r="F134" s="20" t="s">
        <v>42</v>
      </c>
      <c r="G134" s="22" t="s">
        <v>64</v>
      </c>
      <c r="H134" s="19" t="s">
        <v>44</v>
      </c>
      <c r="I134" s="19" t="s">
        <v>97</v>
      </c>
      <c r="J134" s="19" t="s">
        <v>45</v>
      </c>
      <c r="K134" s="19" t="s">
        <v>98</v>
      </c>
      <c r="L134" s="19" t="s">
        <v>99</v>
      </c>
      <c r="M134" s="19" t="s">
        <v>334</v>
      </c>
      <c r="N134" s="19" t="s">
        <v>488</v>
      </c>
      <c r="O134" s="19" t="s">
        <v>334</v>
      </c>
      <c r="P134" s="19" t="s">
        <v>346</v>
      </c>
      <c r="Q134" s="19" t="s">
        <v>812</v>
      </c>
      <c r="R134" s="19" t="s">
        <v>817</v>
      </c>
      <c r="S134" s="19"/>
      <c r="T134" s="19" t="s">
        <v>52</v>
      </c>
      <c r="U134" s="19" t="s">
        <v>70</v>
      </c>
      <c r="V134" s="19" t="s">
        <v>54</v>
      </c>
      <c r="W134" s="19" t="s">
        <v>81</v>
      </c>
      <c r="X134" s="19"/>
      <c r="Y134" s="19"/>
      <c r="Z134" s="19" t="s">
        <v>818</v>
      </c>
      <c r="AA134" s="19">
        <v>1</v>
      </c>
      <c r="AB134" s="19">
        <v>1</v>
      </c>
      <c r="AC134" s="19" t="s">
        <v>58</v>
      </c>
      <c r="AD134" s="19" t="s">
        <v>346</v>
      </c>
      <c r="AE134" s="19" t="s">
        <v>819</v>
      </c>
      <c r="AF134" s="19"/>
    </row>
    <row r="135" spans="1:34">
      <c r="A135" s="19">
        <v>127</v>
      </c>
      <c r="B135" s="19" t="s">
        <v>820</v>
      </c>
      <c r="C135" s="19" t="s">
        <v>821</v>
      </c>
      <c r="D135" s="19" t="str">
        <f>HYPERLINK("http://henontech.com/fieldsafety/harzard/harzard_show.php?rid=3276&amp;url=harzardrecs.php","施工人员在离初冷器平台三米高的吊篮里检修作业，未悬挂安全带，如果吊篮脱钩掉落平台，会造成施工人员腿部骨折住院治疗。")</f>
        <v>施工人员在离初冷器平台三米高的吊篮里检修作业，未悬挂安全带，如果吊篮脱钩掉落平台，会造成施工人员腿部骨折住院治疗。</v>
      </c>
      <c r="E135" s="19" t="s">
        <v>822</v>
      </c>
      <c r="F135" s="20" t="s">
        <v>42</v>
      </c>
      <c r="G135" s="21" t="s">
        <v>43</v>
      </c>
      <c r="H135" s="19" t="s">
        <v>44</v>
      </c>
      <c r="I135" s="19" t="s">
        <v>106</v>
      </c>
      <c r="J135" s="19" t="s">
        <v>527</v>
      </c>
      <c r="K135" s="19" t="s">
        <v>176</v>
      </c>
      <c r="L135" s="19" t="s">
        <v>99</v>
      </c>
      <c r="M135" s="19" t="s">
        <v>334</v>
      </c>
      <c r="N135" s="19" t="s">
        <v>493</v>
      </c>
      <c r="O135" s="19" t="s">
        <v>334</v>
      </c>
      <c r="P135" s="19" t="s">
        <v>346</v>
      </c>
      <c r="Q135" s="19" t="s">
        <v>823</v>
      </c>
      <c r="R135" s="19" t="s">
        <v>824</v>
      </c>
      <c r="S135" s="19"/>
      <c r="T135" s="19" t="s">
        <v>52</v>
      </c>
      <c r="U135" s="19" t="s">
        <v>89</v>
      </c>
      <c r="V135" s="19" t="s">
        <v>71</v>
      </c>
      <c r="W135" s="19" t="s">
        <v>55</v>
      </c>
      <c r="X135" s="19"/>
      <c r="Y135" s="19"/>
      <c r="Z135" s="19" t="s">
        <v>825</v>
      </c>
      <c r="AA135" s="19">
        <v>1</v>
      </c>
      <c r="AB135" s="19">
        <v>1</v>
      </c>
      <c r="AC135" s="19" t="s">
        <v>58</v>
      </c>
      <c r="AD135" s="19" t="s">
        <v>346</v>
      </c>
      <c r="AE135" s="19" t="s">
        <v>751</v>
      </c>
      <c r="AF135" s="19"/>
    </row>
    <row r="136" spans="1:34" customHeight="1" ht="42">
      <c r="A136" s="19">
        <v>128</v>
      </c>
      <c r="B136" s="19" t="s">
        <v>715</v>
      </c>
      <c r="C136" s="19" t="s">
        <v>826</v>
      </c>
      <c r="D136" s="19" t="str">
        <f>HYPERLINK("http://henontech.com/fieldsafety/harzard/harzard_show.php?rid=3283&amp;url=harzardrecs.php","机侧除尘提升机爬梯腐蚀严重，操作工巡检时踏空坠落，造成脚踝扭伤，就医治疗。")</f>
        <v>机侧除尘提升机爬梯腐蚀严重，操作工巡检时踏空坠落，造成脚踝扭伤，就医治疗。</v>
      </c>
      <c r="E136" s="19" t="s">
        <v>827</v>
      </c>
      <c r="F136" s="25" t="s">
        <v>828</v>
      </c>
      <c r="G136" s="22" t="s">
        <v>64</v>
      </c>
      <c r="H136" s="19" t="s">
        <v>44</v>
      </c>
      <c r="I136" s="19" t="s">
        <v>106</v>
      </c>
      <c r="J136" s="19" t="s">
        <v>45</v>
      </c>
      <c r="K136" s="19" t="s">
        <v>170</v>
      </c>
      <c r="L136" s="19" t="s">
        <v>252</v>
      </c>
      <c r="M136" s="19" t="s">
        <v>46</v>
      </c>
      <c r="N136" s="19" t="s">
        <v>829</v>
      </c>
      <c r="O136" s="19" t="s">
        <v>46</v>
      </c>
      <c r="P136" s="19" t="s">
        <v>219</v>
      </c>
      <c r="Q136" s="19" t="s">
        <v>830</v>
      </c>
      <c r="R136" s="19" t="s">
        <v>831</v>
      </c>
      <c r="S136" s="19"/>
      <c r="T136" s="19" t="s">
        <v>52</v>
      </c>
      <c r="U136" s="19" t="s">
        <v>89</v>
      </c>
      <c r="V136" s="19" t="s">
        <v>71</v>
      </c>
      <c r="W136" s="19" t="s">
        <v>55</v>
      </c>
      <c r="X136" s="19" t="s">
        <v>90</v>
      </c>
      <c r="Y136" s="19"/>
      <c r="Z136" s="19" t="s">
        <v>832</v>
      </c>
      <c r="AA136" s="19">
        <v>2</v>
      </c>
      <c r="AB136" s="19"/>
      <c r="AC136" s="19" t="s">
        <v>103</v>
      </c>
      <c r="AD136" s="19"/>
      <c r="AE136" s="19"/>
      <c r="AF136" s="19"/>
    </row>
    <row r="137" spans="1:34">
      <c r="A137" s="19">
        <v>129</v>
      </c>
      <c r="B137" s="19" t="s">
        <v>833</v>
      </c>
      <c r="C137" s="19" t="s">
        <v>766</v>
      </c>
      <c r="D137" s="19" t="str">
        <f>HYPERLINK("http://henontech.com/fieldsafety/harzard/harzard_show.php?rid=3314&amp;url=harzardrecs.php","压滤机房排水沟盖板缺失，一操作工清理卫生时右脚不慎掉入地沟，造成右脚扭伤，就医，因脚踝扭伤肿胀需休养三天。")</f>
        <v>压滤机房排水沟盖板缺失，一操作工清理卫生时右脚不慎掉入地沟，造成右脚扭伤，就医，因脚踝扭伤肿胀需休养三天。</v>
      </c>
      <c r="E137" s="19" t="s">
        <v>834</v>
      </c>
      <c r="F137" s="20" t="s">
        <v>42</v>
      </c>
      <c r="G137" s="22" t="s">
        <v>64</v>
      </c>
      <c r="H137" s="19" t="s">
        <v>44</v>
      </c>
      <c r="I137" s="19" t="s">
        <v>119</v>
      </c>
      <c r="J137" s="19" t="s">
        <v>45</v>
      </c>
      <c r="K137" s="19" t="s">
        <v>170</v>
      </c>
      <c r="L137" s="19"/>
      <c r="M137" s="19" t="s">
        <v>232</v>
      </c>
      <c r="N137" s="19" t="s">
        <v>835</v>
      </c>
      <c r="O137" s="19" t="s">
        <v>232</v>
      </c>
      <c r="P137" s="19" t="s">
        <v>234</v>
      </c>
      <c r="Q137" s="19" t="s">
        <v>761</v>
      </c>
      <c r="R137" s="19" t="s">
        <v>311</v>
      </c>
      <c r="S137" s="19"/>
      <c r="T137" s="19" t="s">
        <v>52</v>
      </c>
      <c r="U137" s="19" t="s">
        <v>89</v>
      </c>
      <c r="V137" s="19" t="s">
        <v>71</v>
      </c>
      <c r="W137" s="19" t="s">
        <v>55</v>
      </c>
      <c r="X137" s="19" t="s">
        <v>73</v>
      </c>
      <c r="Y137" s="19" t="s">
        <v>73</v>
      </c>
      <c r="Z137" s="19" t="s">
        <v>836</v>
      </c>
      <c r="AA137" s="19">
        <v>1</v>
      </c>
      <c r="AB137" s="19">
        <v>1</v>
      </c>
      <c r="AC137" s="19" t="s">
        <v>58</v>
      </c>
      <c r="AD137" s="19" t="s">
        <v>234</v>
      </c>
      <c r="AE137" s="19" t="s">
        <v>823</v>
      </c>
      <c r="AF137" s="19"/>
    </row>
    <row r="138" spans="1:34">
      <c r="A138" s="19">
        <v>130</v>
      </c>
      <c r="B138" s="19" t="s">
        <v>728</v>
      </c>
      <c r="C138" s="19" t="s">
        <v>837</v>
      </c>
      <c r="D138" s="19" t="str">
        <f>HYPERLINK("http://henontech.com/fieldsafety/harzard/harzard_show.php?rid=3323&amp;url=harzardrecs.php","卸酸碱槽棚顶玻璃钢瓦被大风刮起脱落，一操作工巡检到此处时未发现被玻璃钢瓦砸中背部，造成背部划伤，送医护室简单处理后在家休息两天复工。")</f>
        <v>卸酸碱槽棚顶玻璃钢瓦被大风刮起脱落，一操作工巡检到此处时未发现被玻璃钢瓦砸中背部，造成背部划伤，送医护室简单处理后在家休息两天复工。</v>
      </c>
      <c r="E138" s="19" t="s">
        <v>838</v>
      </c>
      <c r="F138" s="20" t="s">
        <v>42</v>
      </c>
      <c r="G138" s="22" t="s">
        <v>64</v>
      </c>
      <c r="H138" s="19" t="s">
        <v>44</v>
      </c>
      <c r="I138" s="19" t="s">
        <v>97</v>
      </c>
      <c r="J138" s="19" t="s">
        <v>45</v>
      </c>
      <c r="K138" s="19" t="s">
        <v>108</v>
      </c>
      <c r="L138" s="19" t="s">
        <v>99</v>
      </c>
      <c r="M138" s="19" t="s">
        <v>334</v>
      </c>
      <c r="N138" s="19" t="s">
        <v>839</v>
      </c>
      <c r="O138" s="19" t="s">
        <v>334</v>
      </c>
      <c r="P138" s="19" t="s">
        <v>346</v>
      </c>
      <c r="Q138" s="19" t="s">
        <v>840</v>
      </c>
      <c r="R138" s="19" t="s">
        <v>841</v>
      </c>
      <c r="S138" s="19"/>
      <c r="T138" s="19" t="s">
        <v>52</v>
      </c>
      <c r="U138" s="19" t="s">
        <v>89</v>
      </c>
      <c r="V138" s="19" t="s">
        <v>54</v>
      </c>
      <c r="W138" s="19" t="s">
        <v>72</v>
      </c>
      <c r="X138" s="19"/>
      <c r="Y138" s="19"/>
      <c r="Z138" s="19" t="s">
        <v>842</v>
      </c>
      <c r="AA138" s="19">
        <v>1</v>
      </c>
      <c r="AB138" s="19">
        <v>1</v>
      </c>
      <c r="AC138" s="19" t="s">
        <v>58</v>
      </c>
      <c r="AD138" s="19" t="s">
        <v>346</v>
      </c>
      <c r="AE138" s="19" t="s">
        <v>843</v>
      </c>
      <c r="AF138" s="19"/>
    </row>
    <row r="139" spans="1:34">
      <c r="A139" s="19">
        <v>131</v>
      </c>
      <c r="B139" s="19" t="s">
        <v>844</v>
      </c>
      <c r="C139" s="19" t="s">
        <v>845</v>
      </c>
      <c r="D139" s="19" t="str">
        <f>HYPERLINK("http://henontech.com/fieldsafety/harzard/harzard_show.php?rid=3326&amp;url=harzardrecs.php","预处理混合池护栏开焊，一操作工夜间巡检时被管道绊倒从护栏开焊处3米平台跌下地面，造成右手臂骨折，右脚踝脱臼，送至医院救治住院20天在家修养3个月。")</f>
        <v>预处理混合池护栏开焊，一操作工夜间巡检时被管道绊倒从护栏开焊处3米平台跌下地面，造成右手臂骨折，右脚踝脱臼，送至医院救治住院20天在家修养3个月。</v>
      </c>
      <c r="E139" s="19" t="s">
        <v>846</v>
      </c>
      <c r="F139" s="20" t="s">
        <v>42</v>
      </c>
      <c r="G139" s="22" t="s">
        <v>64</v>
      </c>
      <c r="H139" s="19" t="s">
        <v>44</v>
      </c>
      <c r="I139" s="19" t="s">
        <v>119</v>
      </c>
      <c r="J139" s="19" t="s">
        <v>182</v>
      </c>
      <c r="K139" s="19"/>
      <c r="L139" s="19"/>
      <c r="M139" s="19" t="s">
        <v>232</v>
      </c>
      <c r="N139" s="19" t="s">
        <v>233</v>
      </c>
      <c r="O139" s="19" t="s">
        <v>232</v>
      </c>
      <c r="P139" s="19" t="s">
        <v>234</v>
      </c>
      <c r="Q139" s="19" t="s">
        <v>847</v>
      </c>
      <c r="R139" s="19" t="s">
        <v>848</v>
      </c>
      <c r="S139" s="19"/>
      <c r="T139" s="19" t="s">
        <v>52</v>
      </c>
      <c r="U139" s="19" t="s">
        <v>89</v>
      </c>
      <c r="V139" s="19" t="s">
        <v>71</v>
      </c>
      <c r="W139" s="19" t="s">
        <v>55</v>
      </c>
      <c r="X139" s="19" t="s">
        <v>73</v>
      </c>
      <c r="Y139" s="19" t="s">
        <v>73</v>
      </c>
      <c r="Z139" s="19" t="s">
        <v>463</v>
      </c>
      <c r="AA139" s="19">
        <v>1</v>
      </c>
      <c r="AB139" s="19">
        <v>1</v>
      </c>
      <c r="AC139" s="19" t="s">
        <v>58</v>
      </c>
      <c r="AD139" s="19" t="s">
        <v>234</v>
      </c>
      <c r="AE139" s="19" t="s">
        <v>773</v>
      </c>
      <c r="AF139" s="19"/>
    </row>
    <row r="140" spans="1:34">
      <c r="A140" s="19">
        <v>132</v>
      </c>
      <c r="B140" s="19" t="s">
        <v>721</v>
      </c>
      <c r="C140" s="19" t="s">
        <v>845</v>
      </c>
      <c r="D140" s="19" t="str">
        <f>HYPERLINK("http://henontech.com/fieldsafety/harzard/harzard_show.php?rid=3337&amp;url=harzardrecs.php","生化液碱罐积水坑盖板未盖，一名员工调节碱泵时不小心右脚掉入积水坑摔倒，造成右手腕部骨折住院治疗三个月")</f>
        <v>生化液碱罐积水坑盖板未盖，一名员工调节碱泵时不小心右脚掉入积水坑摔倒，造成右手腕部骨折住院治疗三个月</v>
      </c>
      <c r="E140" s="19" t="s">
        <v>849</v>
      </c>
      <c r="F140" s="20" t="s">
        <v>42</v>
      </c>
      <c r="G140" s="22" t="s">
        <v>64</v>
      </c>
      <c r="H140" s="19" t="s">
        <v>44</v>
      </c>
      <c r="I140" s="19" t="s">
        <v>106</v>
      </c>
      <c r="J140" s="19" t="s">
        <v>182</v>
      </c>
      <c r="K140" s="19" t="s">
        <v>170</v>
      </c>
      <c r="L140" s="19"/>
      <c r="M140" s="19" t="s">
        <v>232</v>
      </c>
      <c r="N140" s="19" t="s">
        <v>850</v>
      </c>
      <c r="O140" s="19" t="s">
        <v>232</v>
      </c>
      <c r="P140" s="19" t="s">
        <v>234</v>
      </c>
      <c r="Q140" s="19" t="s">
        <v>847</v>
      </c>
      <c r="R140" s="19" t="s">
        <v>851</v>
      </c>
      <c r="S140" s="19"/>
      <c r="T140" s="19" t="s">
        <v>52</v>
      </c>
      <c r="U140" s="19" t="s">
        <v>70</v>
      </c>
      <c r="V140" s="19" t="s">
        <v>54</v>
      </c>
      <c r="W140" s="19" t="s">
        <v>81</v>
      </c>
      <c r="X140" s="19" t="s">
        <v>73</v>
      </c>
      <c r="Y140" s="19" t="s">
        <v>73</v>
      </c>
      <c r="Z140" s="19" t="s">
        <v>852</v>
      </c>
      <c r="AA140" s="19">
        <v>1</v>
      </c>
      <c r="AB140" s="19">
        <v>1</v>
      </c>
      <c r="AC140" s="19" t="s">
        <v>58</v>
      </c>
      <c r="AD140" s="19" t="s">
        <v>234</v>
      </c>
      <c r="AE140" s="19" t="s">
        <v>823</v>
      </c>
      <c r="AF140" s="19"/>
    </row>
    <row r="141" spans="1:34">
      <c r="A141" s="19">
        <v>133</v>
      </c>
      <c r="B141" s="19" t="s">
        <v>728</v>
      </c>
      <c r="C141" s="19" t="s">
        <v>785</v>
      </c>
      <c r="D141" s="19" t="str">
        <f>HYPERLINK("http://henontech.com/fieldsafety/harzard/harzard_show.php?rid=3349&amp;url=harzardrecs.php","深度处理中水车间盐酸加药装置阻尼器因长时间腐蚀外漏喷溅,将正在巡检的操作人员喷溅至左脸，立即用清水冲洗，就医，经诊断左脸轻度灼伤，在家休养3天，复工。")</f>
        <v>深度处理中水车间盐酸加药装置阻尼器因长时间腐蚀外漏喷溅,将正在巡检的操作人员喷溅至左脸，立即用清水冲洗，就医，经诊断左脸轻度灼伤，在家休养3天，复工。</v>
      </c>
      <c r="E141" s="19" t="s">
        <v>853</v>
      </c>
      <c r="F141" s="20" t="s">
        <v>42</v>
      </c>
      <c r="G141" s="22" t="s">
        <v>64</v>
      </c>
      <c r="H141" s="19" t="s">
        <v>44</v>
      </c>
      <c r="I141" s="19"/>
      <c r="J141" s="19" t="s">
        <v>45</v>
      </c>
      <c r="K141" s="19"/>
      <c r="L141" s="19"/>
      <c r="M141" s="19" t="s">
        <v>232</v>
      </c>
      <c r="N141" s="19" t="s">
        <v>854</v>
      </c>
      <c r="O141" s="19" t="s">
        <v>232</v>
      </c>
      <c r="P141" s="19" t="s">
        <v>234</v>
      </c>
      <c r="Q141" s="19" t="s">
        <v>847</v>
      </c>
      <c r="R141" s="19" t="s">
        <v>855</v>
      </c>
      <c r="S141" s="19"/>
      <c r="T141" s="19" t="s">
        <v>52</v>
      </c>
      <c r="U141" s="19" t="s">
        <v>89</v>
      </c>
      <c r="V141" s="19" t="s">
        <v>71</v>
      </c>
      <c r="W141" s="19" t="s">
        <v>55</v>
      </c>
      <c r="X141" s="19" t="s">
        <v>73</v>
      </c>
      <c r="Y141" s="19" t="s">
        <v>73</v>
      </c>
      <c r="Z141" s="19" t="s">
        <v>856</v>
      </c>
      <c r="AA141" s="19">
        <v>1</v>
      </c>
      <c r="AB141" s="19">
        <v>1</v>
      </c>
      <c r="AC141" s="19" t="s">
        <v>58</v>
      </c>
      <c r="AD141" s="19" t="s">
        <v>234</v>
      </c>
      <c r="AE141" s="19" t="s">
        <v>773</v>
      </c>
      <c r="AF141" s="19"/>
    </row>
    <row r="142" spans="1:34" customHeight="1" ht="42">
      <c r="A142" s="19">
        <v>134</v>
      </c>
      <c r="B142" s="19" t="s">
        <v>728</v>
      </c>
      <c r="C142" s="19" t="s">
        <v>857</v>
      </c>
      <c r="D142" s="19" t="str">
        <f>HYPERLINK("http://henontech.com/fieldsafety/harzard/harzard_show.php?rid=3353&amp;url=harzardrecs.php","一名巡检工，巡检时不小心被穿线管绊倒，导致右手骨折，送医院就治。")</f>
        <v>一名巡检工，巡检时不小心被穿线管绊倒，导致右手骨折，送医院就治。</v>
      </c>
      <c r="E142" s="19" t="s">
        <v>858</v>
      </c>
      <c r="F142" s="20" t="s">
        <v>42</v>
      </c>
      <c r="G142" s="22" t="s">
        <v>64</v>
      </c>
      <c r="H142" s="19" t="s">
        <v>44</v>
      </c>
      <c r="I142" s="19" t="s">
        <v>119</v>
      </c>
      <c r="J142" s="19" t="s">
        <v>45</v>
      </c>
      <c r="K142" s="19" t="s">
        <v>108</v>
      </c>
      <c r="L142" s="19"/>
      <c r="M142" s="19" t="s">
        <v>663</v>
      </c>
      <c r="N142" s="19" t="s">
        <v>859</v>
      </c>
      <c r="O142" s="19" t="s">
        <v>663</v>
      </c>
      <c r="P142" s="19" t="s">
        <v>664</v>
      </c>
      <c r="Q142" s="19" t="s">
        <v>860</v>
      </c>
      <c r="R142" s="19" t="s">
        <v>861</v>
      </c>
      <c r="S142" s="19"/>
      <c r="T142" s="19" t="s">
        <v>52</v>
      </c>
      <c r="U142" s="19" t="s">
        <v>89</v>
      </c>
      <c r="V142" s="19" t="s">
        <v>71</v>
      </c>
      <c r="W142" s="19" t="s">
        <v>55</v>
      </c>
      <c r="X142" s="19"/>
      <c r="Y142" s="19"/>
      <c r="Z142" s="19" t="s">
        <v>862</v>
      </c>
      <c r="AA142" s="19">
        <v>2</v>
      </c>
      <c r="AB142" s="19">
        <v>2</v>
      </c>
      <c r="AC142" s="19" t="s">
        <v>58</v>
      </c>
      <c r="AD142" s="19" t="s">
        <v>664</v>
      </c>
      <c r="AE142" s="19" t="s">
        <v>863</v>
      </c>
      <c r="AF142" s="19"/>
    </row>
    <row r="143" spans="1:34">
      <c r="A143" s="19">
        <v>135</v>
      </c>
      <c r="B143" s="19" t="s">
        <v>748</v>
      </c>
      <c r="C143" s="19" t="s">
        <v>563</v>
      </c>
      <c r="D143" s="19" t="str">
        <f>HYPERLINK("http://henontech.com/fieldsafety/harzard/harzard_show.php?rid=3354&amp;url=harzardrecs.php","过桥未设安全警示标识，操作工在经过过桥时，头部不慎碰到上方的电缆桥架，送医务室检查为颈部挫伤，回家休养3天后复工。")</f>
        <v>过桥未设安全警示标识，操作工在经过过桥时，头部不慎碰到上方的电缆桥架，送医务室检查为颈部挫伤，回家休养3天后复工。</v>
      </c>
      <c r="E143" s="19" t="s">
        <v>864</v>
      </c>
      <c r="F143" s="20" t="s">
        <v>42</v>
      </c>
      <c r="G143" s="21" t="s">
        <v>43</v>
      </c>
      <c r="H143" s="19" t="s">
        <v>44</v>
      </c>
      <c r="I143" s="19" t="s">
        <v>119</v>
      </c>
      <c r="J143" s="19" t="s">
        <v>45</v>
      </c>
      <c r="K143" s="19" t="s">
        <v>170</v>
      </c>
      <c r="L143" s="19" t="s">
        <v>99</v>
      </c>
      <c r="M143" s="19" t="s">
        <v>565</v>
      </c>
      <c r="N143" s="19" t="s">
        <v>683</v>
      </c>
      <c r="O143" s="19" t="s">
        <v>565</v>
      </c>
      <c r="P143" s="19" t="s">
        <v>627</v>
      </c>
      <c r="Q143" s="19" t="s">
        <v>865</v>
      </c>
      <c r="R143" s="19" t="s">
        <v>866</v>
      </c>
      <c r="S143" s="19"/>
      <c r="T143" s="19" t="s">
        <v>52</v>
      </c>
      <c r="U143" s="19" t="s">
        <v>70</v>
      </c>
      <c r="V143" s="19" t="s">
        <v>80</v>
      </c>
      <c r="W143" s="19" t="s">
        <v>55</v>
      </c>
      <c r="X143" s="19"/>
      <c r="Y143" s="19"/>
      <c r="Z143" s="19" t="s">
        <v>867</v>
      </c>
      <c r="AA143" s="19">
        <v>1</v>
      </c>
      <c r="AB143" s="19">
        <v>1</v>
      </c>
      <c r="AC143" s="19" t="s">
        <v>58</v>
      </c>
      <c r="AD143" s="19" t="s">
        <v>627</v>
      </c>
      <c r="AE143" s="19" t="s">
        <v>868</v>
      </c>
      <c r="AF143" s="19"/>
    </row>
    <row r="144" spans="1:34">
      <c r="A144" s="19">
        <v>136</v>
      </c>
      <c r="B144" s="19" t="s">
        <v>865</v>
      </c>
      <c r="C144" s="19" t="s">
        <v>869</v>
      </c>
      <c r="D144" s="19" t="str">
        <f>HYPERLINK("http://henontech.com/fieldsafety/harzard/harzard_show.php?rid=3369&amp;url=harzardrecs.php","粗苯管式炉东侧电缆桥架盖板坠落，悬挂在半空，一名操作工在经过桥架下方时被坠落的电缆桥架盖板砸伤头部，未影响正常工作。")</f>
        <v>粗苯管式炉东侧电缆桥架盖板坠落，悬挂在半空，一名操作工在经过桥架下方时被坠落的电缆桥架盖板砸伤头部，未影响正常工作。</v>
      </c>
      <c r="E144" s="19" t="s">
        <v>870</v>
      </c>
      <c r="F144" s="20" t="s">
        <v>42</v>
      </c>
      <c r="G144" s="22" t="s">
        <v>64</v>
      </c>
      <c r="H144" s="19" t="s">
        <v>44</v>
      </c>
      <c r="I144" s="19" t="s">
        <v>97</v>
      </c>
      <c r="J144" s="19" t="s">
        <v>45</v>
      </c>
      <c r="K144" s="19" t="s">
        <v>98</v>
      </c>
      <c r="L144" s="19" t="s">
        <v>99</v>
      </c>
      <c r="M144" s="19" t="s">
        <v>334</v>
      </c>
      <c r="N144" s="19" t="s">
        <v>488</v>
      </c>
      <c r="O144" s="19" t="s">
        <v>334</v>
      </c>
      <c r="P144" s="19" t="s">
        <v>346</v>
      </c>
      <c r="Q144" s="19" t="s">
        <v>773</v>
      </c>
      <c r="R144" s="19" t="s">
        <v>871</v>
      </c>
      <c r="S144" s="19"/>
      <c r="T144" s="19" t="s">
        <v>52</v>
      </c>
      <c r="U144" s="19" t="s">
        <v>70</v>
      </c>
      <c r="V144" s="19" t="s">
        <v>54</v>
      </c>
      <c r="W144" s="19" t="s">
        <v>81</v>
      </c>
      <c r="X144" s="19"/>
      <c r="Y144" s="19"/>
      <c r="Z144" s="19" t="s">
        <v>872</v>
      </c>
      <c r="AA144" s="19">
        <v>1</v>
      </c>
      <c r="AB144" s="19">
        <v>1</v>
      </c>
      <c r="AC144" s="19" t="s">
        <v>58</v>
      </c>
      <c r="AD144" s="19" t="s">
        <v>346</v>
      </c>
      <c r="AE144" s="19" t="s">
        <v>746</v>
      </c>
      <c r="AF144" s="19"/>
    </row>
    <row r="145" spans="1:34">
      <c r="A145" s="19">
        <v>137</v>
      </c>
      <c r="B145" s="19" t="s">
        <v>865</v>
      </c>
      <c r="C145" s="19" t="s">
        <v>873</v>
      </c>
      <c r="D145" s="19" t="str">
        <f>HYPERLINK("http://henontech.com/fieldsafety/harzard/harzard_show.php?rid=3376&amp;url=harzardrecs.php","西硫铵东花砖路管架上有一废弃不用的铁管，如果一名操作工经过此处，因风大刮落砸中操作工左肩，送医院诊断为左肩轻微骨折，在家休养7天，损工7天。")</f>
        <v>西硫铵东花砖路管架上有一废弃不用的铁管，如果一名操作工经过此处，因风大刮落砸中操作工左肩，送医院诊断为左肩轻微骨折，在家休养7天，损工7天。</v>
      </c>
      <c r="E145" s="19" t="s">
        <v>874</v>
      </c>
      <c r="F145" s="20" t="s">
        <v>42</v>
      </c>
      <c r="G145" s="22" t="s">
        <v>64</v>
      </c>
      <c r="H145" s="19" t="s">
        <v>44</v>
      </c>
      <c r="I145" s="19" t="s">
        <v>119</v>
      </c>
      <c r="J145" s="19" t="s">
        <v>45</v>
      </c>
      <c r="K145" s="19" t="s">
        <v>108</v>
      </c>
      <c r="L145" s="19" t="s">
        <v>99</v>
      </c>
      <c r="M145" s="19" t="s">
        <v>334</v>
      </c>
      <c r="N145" s="19" t="s">
        <v>875</v>
      </c>
      <c r="O145" s="19" t="s">
        <v>334</v>
      </c>
      <c r="P145" s="19" t="s">
        <v>346</v>
      </c>
      <c r="Q145" s="19" t="s">
        <v>773</v>
      </c>
      <c r="R145" s="19" t="s">
        <v>876</v>
      </c>
      <c r="S145" s="19"/>
      <c r="T145" s="19" t="s">
        <v>52</v>
      </c>
      <c r="U145" s="19" t="s">
        <v>89</v>
      </c>
      <c r="V145" s="19" t="s">
        <v>71</v>
      </c>
      <c r="W145" s="19" t="s">
        <v>55</v>
      </c>
      <c r="X145" s="19"/>
      <c r="Y145" s="19"/>
      <c r="Z145" s="19" t="s">
        <v>877</v>
      </c>
      <c r="AA145" s="19">
        <v>1</v>
      </c>
      <c r="AB145" s="19">
        <v>1</v>
      </c>
      <c r="AC145" s="19" t="s">
        <v>58</v>
      </c>
      <c r="AD145" s="19" t="s">
        <v>346</v>
      </c>
      <c r="AE145" s="19" t="s">
        <v>878</v>
      </c>
      <c r="AF145" s="19"/>
    </row>
    <row r="146" spans="1:34">
      <c r="A146" s="19">
        <v>138</v>
      </c>
      <c r="B146" s="19" t="s">
        <v>879</v>
      </c>
      <c r="C146" s="19" t="s">
        <v>803</v>
      </c>
      <c r="D146" s="19" t="str">
        <f>HYPERLINK("http://henontech.com/fieldsafety/harzard/harzard_show.php?rid=3387&amp;url=harzardrecs.php","南脱硫2#脱硫塔水封蒸汽管道铝皮破损，巡检工在开关阀门时，造成手部轻微划伤，医务室简单处理后正常上班。")</f>
        <v>南脱硫2#脱硫塔水封蒸汽管道铝皮破损，巡检工在开关阀门时，造成手部轻微划伤，医务室简单处理后正常上班。</v>
      </c>
      <c r="E146" s="19" t="s">
        <v>880</v>
      </c>
      <c r="F146" s="20" t="s">
        <v>42</v>
      </c>
      <c r="G146" s="22" t="s">
        <v>64</v>
      </c>
      <c r="H146" s="19" t="s">
        <v>44</v>
      </c>
      <c r="I146" s="19"/>
      <c r="J146" s="19" t="s">
        <v>45</v>
      </c>
      <c r="K146" s="19"/>
      <c r="L146" s="19"/>
      <c r="M146" s="19" t="s">
        <v>334</v>
      </c>
      <c r="N146" s="19" t="s">
        <v>881</v>
      </c>
      <c r="O146" s="19" t="s">
        <v>334</v>
      </c>
      <c r="P146" s="19" t="s">
        <v>346</v>
      </c>
      <c r="Q146" s="19" t="s">
        <v>882</v>
      </c>
      <c r="R146" s="19" t="s">
        <v>883</v>
      </c>
      <c r="S146" s="19"/>
      <c r="T146" s="19" t="s">
        <v>52</v>
      </c>
      <c r="U146" s="19" t="s">
        <v>70</v>
      </c>
      <c r="V146" s="19" t="s">
        <v>54</v>
      </c>
      <c r="W146" s="19" t="s">
        <v>81</v>
      </c>
      <c r="X146" s="19"/>
      <c r="Y146" s="19"/>
      <c r="Z146" s="19" t="s">
        <v>884</v>
      </c>
      <c r="AA146" s="19">
        <v>1</v>
      </c>
      <c r="AB146" s="19">
        <v>1</v>
      </c>
      <c r="AC146" s="19" t="s">
        <v>58</v>
      </c>
      <c r="AD146" s="19" t="s">
        <v>346</v>
      </c>
      <c r="AE146" s="19" t="s">
        <v>819</v>
      </c>
      <c r="AF146" s="19"/>
    </row>
    <row r="147" spans="1:34">
      <c r="A147" s="19">
        <v>139</v>
      </c>
      <c r="B147" s="19" t="s">
        <v>879</v>
      </c>
      <c r="C147" s="19" t="s">
        <v>885</v>
      </c>
      <c r="D147" s="19" t="str">
        <f>HYPERLINK("http://henontech.com/fieldsafety/harzard/harzard_show.php?rid=3390&amp;url=harzardrecs.php","75吨锅炉煤仓上方无护栏无安全警示，一名锅炉操作工在巡检时不慎掉入煤仓内，造成左胳膊前臂骨折。")</f>
        <v>75吨锅炉煤仓上方无护栏无安全警示，一名锅炉操作工在巡检时不慎掉入煤仓内，造成左胳膊前臂骨折。</v>
      </c>
      <c r="E147" s="19" t="s">
        <v>886</v>
      </c>
      <c r="F147" s="20" t="s">
        <v>42</v>
      </c>
      <c r="G147" s="21" t="s">
        <v>43</v>
      </c>
      <c r="H147" s="19" t="s">
        <v>44</v>
      </c>
      <c r="I147" s="19" t="s">
        <v>119</v>
      </c>
      <c r="J147" s="19" t="s">
        <v>45</v>
      </c>
      <c r="K147" s="19"/>
      <c r="L147" s="19"/>
      <c r="M147" s="19" t="s">
        <v>663</v>
      </c>
      <c r="N147" s="19" t="s">
        <v>887</v>
      </c>
      <c r="O147" s="19" t="s">
        <v>663</v>
      </c>
      <c r="P147" s="19" t="s">
        <v>664</v>
      </c>
      <c r="Q147" s="19" t="s">
        <v>888</v>
      </c>
      <c r="R147" s="19" t="s">
        <v>889</v>
      </c>
      <c r="S147" s="19"/>
      <c r="T147" s="19" t="s">
        <v>52</v>
      </c>
      <c r="U147" s="19" t="s">
        <v>89</v>
      </c>
      <c r="V147" s="19" t="s">
        <v>71</v>
      </c>
      <c r="W147" s="19" t="s">
        <v>55</v>
      </c>
      <c r="X147" s="19"/>
      <c r="Y147" s="19"/>
      <c r="Z147" s="19" t="s">
        <v>890</v>
      </c>
      <c r="AA147" s="19">
        <v>1</v>
      </c>
      <c r="AB147" s="19">
        <v>1</v>
      </c>
      <c r="AC147" s="19" t="s">
        <v>58</v>
      </c>
      <c r="AD147" s="19" t="s">
        <v>664</v>
      </c>
      <c r="AE147" s="19" t="s">
        <v>751</v>
      </c>
      <c r="AF147" s="19"/>
    </row>
    <row r="148" spans="1:34">
      <c r="A148" s="19">
        <v>140</v>
      </c>
      <c r="B148" s="19" t="s">
        <v>879</v>
      </c>
      <c r="C148" s="19" t="s">
        <v>459</v>
      </c>
      <c r="D148" s="19" t="str">
        <f>HYPERLINK("http://henontech.com/fieldsafety/harzard/harzard_show.php?rid=3394&amp;url=harzardrecs.php","操作工在巡检工作时，倚靠护栏，由于护栏根部长年腐蚀烂断，人和护栏一起歪倒，左手被护栏压到骨折，休息一个月，损工30天。")</f>
        <v>操作工在巡检工作时，倚靠护栏，由于护栏根部长年腐蚀烂断，人和护栏一起歪倒，左手被护栏压到骨折，休息一个月，损工30天。</v>
      </c>
      <c r="E148" s="19" t="s">
        <v>891</v>
      </c>
      <c r="F148" s="20" t="s">
        <v>42</v>
      </c>
      <c r="G148" s="22" t="s">
        <v>64</v>
      </c>
      <c r="H148" s="19" t="s">
        <v>44</v>
      </c>
      <c r="I148" s="19" t="s">
        <v>333</v>
      </c>
      <c r="J148" s="19" t="s">
        <v>182</v>
      </c>
      <c r="K148" s="19" t="s">
        <v>176</v>
      </c>
      <c r="L148" s="19"/>
      <c r="M148" s="19" t="s">
        <v>232</v>
      </c>
      <c r="N148" s="19" t="s">
        <v>892</v>
      </c>
      <c r="O148" s="19" t="s">
        <v>232</v>
      </c>
      <c r="P148" s="19" t="s">
        <v>234</v>
      </c>
      <c r="Q148" s="19" t="s">
        <v>860</v>
      </c>
      <c r="R148" s="19" t="s">
        <v>893</v>
      </c>
      <c r="S148" s="19"/>
      <c r="T148" s="19" t="s">
        <v>52</v>
      </c>
      <c r="U148" s="19" t="s">
        <v>89</v>
      </c>
      <c r="V148" s="19" t="s">
        <v>71</v>
      </c>
      <c r="W148" s="19" t="s">
        <v>55</v>
      </c>
      <c r="X148" s="19" t="s">
        <v>73</v>
      </c>
      <c r="Y148" s="19" t="s">
        <v>73</v>
      </c>
      <c r="Z148" s="19" t="s">
        <v>463</v>
      </c>
      <c r="AA148" s="19">
        <v>1</v>
      </c>
      <c r="AB148" s="19">
        <v>1</v>
      </c>
      <c r="AC148" s="19" t="s">
        <v>58</v>
      </c>
      <c r="AD148" s="19" t="s">
        <v>234</v>
      </c>
      <c r="AE148" s="19" t="s">
        <v>732</v>
      </c>
      <c r="AF148" s="19"/>
    </row>
    <row r="149" spans="1:34">
      <c r="A149" s="19">
        <v>141</v>
      </c>
      <c r="B149" s="19" t="s">
        <v>879</v>
      </c>
      <c r="C149" s="19" t="s">
        <v>766</v>
      </c>
      <c r="D149" s="19" t="str">
        <f>HYPERLINK("http://henontech.com/fieldsafety/harzard/harzard_show.php?rid=3395&amp;url=harzardrecs.php","阀门井盖板腐烂严重，一名操作工巡检时不慎踩上去，摔入阀门井中，送医治疗确诊左腿骨折，住院15天，回家修养3个月复工。")</f>
        <v>阀门井盖板腐烂严重，一名操作工巡检时不慎踩上去，摔入阀门井中，送医治疗确诊左腿骨折，住院15天，回家修养3个月复工。</v>
      </c>
      <c r="E149" s="19" t="s">
        <v>894</v>
      </c>
      <c r="F149" s="20" t="s">
        <v>42</v>
      </c>
      <c r="G149" s="22" t="s">
        <v>64</v>
      </c>
      <c r="H149" s="19" t="s">
        <v>44</v>
      </c>
      <c r="I149" s="19" t="s">
        <v>119</v>
      </c>
      <c r="J149" s="19" t="s">
        <v>182</v>
      </c>
      <c r="K149" s="19" t="s">
        <v>108</v>
      </c>
      <c r="L149" s="19"/>
      <c r="M149" s="19" t="s">
        <v>232</v>
      </c>
      <c r="N149" s="19" t="s">
        <v>895</v>
      </c>
      <c r="O149" s="19" t="s">
        <v>232</v>
      </c>
      <c r="P149" s="19" t="s">
        <v>234</v>
      </c>
      <c r="Q149" s="19" t="s">
        <v>860</v>
      </c>
      <c r="R149" s="19" t="s">
        <v>896</v>
      </c>
      <c r="S149" s="19"/>
      <c r="T149" s="19" t="s">
        <v>52</v>
      </c>
      <c r="U149" s="19" t="s">
        <v>89</v>
      </c>
      <c r="V149" s="19" t="s">
        <v>71</v>
      </c>
      <c r="W149" s="19" t="s">
        <v>55</v>
      </c>
      <c r="X149" s="19" t="s">
        <v>73</v>
      </c>
      <c r="Y149" s="19" t="s">
        <v>73</v>
      </c>
      <c r="Z149" s="19" t="s">
        <v>897</v>
      </c>
      <c r="AA149" s="19">
        <v>1</v>
      </c>
      <c r="AB149" s="19">
        <v>1</v>
      </c>
      <c r="AC149" s="19" t="s">
        <v>58</v>
      </c>
      <c r="AD149" s="19" t="s">
        <v>234</v>
      </c>
      <c r="AE149" s="19" t="s">
        <v>732</v>
      </c>
      <c r="AF149" s="19"/>
    </row>
    <row r="150" spans="1:34">
      <c r="A150" s="19">
        <v>142</v>
      </c>
      <c r="B150" s="19" t="s">
        <v>879</v>
      </c>
      <c r="C150" s="19" t="s">
        <v>898</v>
      </c>
      <c r="D150" s="19" t="str">
        <f>HYPERLINK("http://henontech.com/fieldsafety/harzard/harzard_show.php?rid=3398&amp;url=harzardrecs.php","絮凝剂管线漏液，由于操作工没有带护目镜，操作工在操作过程中絮凝剂药液溅入眼中")</f>
        <v>絮凝剂管线漏液，由于操作工没有带护目镜，操作工在操作过程中絮凝剂药液溅入眼中</v>
      </c>
      <c r="E150" s="19" t="s">
        <v>899</v>
      </c>
      <c r="F150" s="20" t="s">
        <v>42</v>
      </c>
      <c r="G150" s="24" t="s">
        <v>251</v>
      </c>
      <c r="H150" s="19" t="s">
        <v>44</v>
      </c>
      <c r="I150" s="19" t="s">
        <v>119</v>
      </c>
      <c r="J150" s="19" t="s">
        <v>768</v>
      </c>
      <c r="K150" s="19" t="s">
        <v>170</v>
      </c>
      <c r="L150" s="19"/>
      <c r="M150" s="19" t="s">
        <v>663</v>
      </c>
      <c r="N150" s="19" t="s">
        <v>900</v>
      </c>
      <c r="O150" s="19" t="s">
        <v>663</v>
      </c>
      <c r="P150" s="19" t="s">
        <v>664</v>
      </c>
      <c r="Q150" s="19" t="s">
        <v>860</v>
      </c>
      <c r="R150" s="19" t="s">
        <v>898</v>
      </c>
      <c r="S150" s="19"/>
      <c r="T150" s="19" t="s">
        <v>52</v>
      </c>
      <c r="U150" s="19" t="s">
        <v>70</v>
      </c>
      <c r="V150" s="19" t="s">
        <v>71</v>
      </c>
      <c r="W150" s="19" t="s">
        <v>72</v>
      </c>
      <c r="X150" s="19"/>
      <c r="Y150" s="19"/>
      <c r="Z150" s="19" t="s">
        <v>901</v>
      </c>
      <c r="AA150" s="19">
        <v>1</v>
      </c>
      <c r="AB150" s="19">
        <v>1</v>
      </c>
      <c r="AC150" s="19" t="s">
        <v>58</v>
      </c>
      <c r="AD150" s="19" t="s">
        <v>664</v>
      </c>
      <c r="AE150" s="19" t="s">
        <v>878</v>
      </c>
      <c r="AF150" s="19" t="s">
        <v>902</v>
      </c>
    </row>
    <row r="151" spans="1:34">
      <c r="A151" s="19">
        <v>143</v>
      </c>
      <c r="B151" s="19" t="s">
        <v>879</v>
      </c>
      <c r="C151" s="19" t="s">
        <v>903</v>
      </c>
      <c r="D151" s="19" t="str">
        <f>HYPERLINK("http://henontech.com/fieldsafety/harzard/harzard_show.php?rid=3400&amp;url=harzardrecs.php","原料氨水泵上方管架油漆工遗留废弃油漆桶一只。假如大风天气一名操作工巡检此处时，可能被掉落的油漆桶砸伤操作工的左臂，送往医务室诊治轻微伤简单包扎后复工")</f>
        <v>原料氨水泵上方管架油漆工遗留废弃油漆桶一只。假如大风天气一名操作工巡检此处时，可能被掉落的油漆桶砸伤操作工的左臂，送往医务室诊治轻微伤简单包扎后复工</v>
      </c>
      <c r="E151" s="19" t="s">
        <v>904</v>
      </c>
      <c r="F151" s="20" t="s">
        <v>42</v>
      </c>
      <c r="G151" s="22" t="s">
        <v>64</v>
      </c>
      <c r="H151" s="19" t="s">
        <v>44</v>
      </c>
      <c r="I151" s="19" t="s">
        <v>119</v>
      </c>
      <c r="J151" s="19" t="s">
        <v>45</v>
      </c>
      <c r="K151" s="19" t="s">
        <v>108</v>
      </c>
      <c r="L151" s="19" t="s">
        <v>99</v>
      </c>
      <c r="M151" s="19" t="s">
        <v>334</v>
      </c>
      <c r="N151" s="19" t="s">
        <v>905</v>
      </c>
      <c r="O151" s="19" t="s">
        <v>334</v>
      </c>
      <c r="P151" s="19" t="s">
        <v>346</v>
      </c>
      <c r="Q151" s="19" t="s">
        <v>882</v>
      </c>
      <c r="R151" s="19" t="s">
        <v>356</v>
      </c>
      <c r="S151" s="19"/>
      <c r="T151" s="19" t="s">
        <v>52</v>
      </c>
      <c r="U151" s="19" t="s">
        <v>70</v>
      </c>
      <c r="V151" s="19" t="s">
        <v>71</v>
      </c>
      <c r="W151" s="19" t="s">
        <v>72</v>
      </c>
      <c r="X151" s="19"/>
      <c r="Y151" s="19"/>
      <c r="Z151" s="19" t="s">
        <v>906</v>
      </c>
      <c r="AA151" s="19">
        <v>1</v>
      </c>
      <c r="AB151" s="19">
        <v>1</v>
      </c>
      <c r="AC151" s="19" t="s">
        <v>58</v>
      </c>
      <c r="AD151" s="19" t="s">
        <v>346</v>
      </c>
      <c r="AE151" s="19" t="s">
        <v>907</v>
      </c>
      <c r="AF151" s="19"/>
    </row>
    <row r="152" spans="1:34">
      <c r="A152" s="19">
        <v>144</v>
      </c>
      <c r="B152" s="19" t="s">
        <v>908</v>
      </c>
      <c r="C152" s="19" t="s">
        <v>909</v>
      </c>
      <c r="D152" s="19" t="str">
        <f>HYPERLINK("http://henontech.com/fieldsafety/harzard/harzard_show.php?rid=3405&amp;url=harzardrecs.php","一人上煤时，观察1号下料口时来回经过煤西边煤仓口有坠落伤害")</f>
        <v>一人上煤时，观察1号下料口时来回经过煤西边煤仓口有坠落伤害</v>
      </c>
      <c r="E152" s="19" t="s">
        <v>910</v>
      </c>
      <c r="F152" s="20" t="s">
        <v>42</v>
      </c>
      <c r="G152" s="21" t="s">
        <v>43</v>
      </c>
      <c r="H152" s="19" t="s">
        <v>44</v>
      </c>
      <c r="I152" s="19" t="s">
        <v>106</v>
      </c>
      <c r="J152" s="19" t="s">
        <v>45</v>
      </c>
      <c r="K152" s="19" t="s">
        <v>170</v>
      </c>
      <c r="L152" s="19"/>
      <c r="M152" s="19" t="s">
        <v>663</v>
      </c>
      <c r="N152" s="19" t="s">
        <v>911</v>
      </c>
      <c r="O152" s="19" t="s">
        <v>663</v>
      </c>
      <c r="P152" s="19" t="s">
        <v>664</v>
      </c>
      <c r="Q152" s="19" t="s">
        <v>860</v>
      </c>
      <c r="R152" s="19" t="s">
        <v>912</v>
      </c>
      <c r="S152" s="19"/>
      <c r="T152" s="19" t="s">
        <v>52</v>
      </c>
      <c r="U152" s="19" t="s">
        <v>70</v>
      </c>
      <c r="V152" s="19" t="s">
        <v>54</v>
      </c>
      <c r="W152" s="19" t="s">
        <v>81</v>
      </c>
      <c r="X152" s="19"/>
      <c r="Y152" s="19"/>
      <c r="Z152" s="19" t="s">
        <v>913</v>
      </c>
      <c r="AA152" s="19">
        <v>1</v>
      </c>
      <c r="AB152" s="19">
        <v>1</v>
      </c>
      <c r="AC152" s="19" t="s">
        <v>58</v>
      </c>
      <c r="AD152" s="19" t="s">
        <v>664</v>
      </c>
      <c r="AE152" s="19" t="s">
        <v>878</v>
      </c>
      <c r="AF152" s="19" t="s">
        <v>914</v>
      </c>
    </row>
    <row r="153" spans="1:34">
      <c r="A153" s="19">
        <v>145</v>
      </c>
      <c r="B153" s="19" t="s">
        <v>908</v>
      </c>
      <c r="C153" s="19" t="s">
        <v>915</v>
      </c>
      <c r="D153" s="19" t="str">
        <f>HYPERLINK("http://henontech.com/fieldsafety/harzard/harzard_show.php?rid=3419&amp;url=harzardrecs.php","棚顶有杂物，如果在大风天气，一名操作工巡检到这里杂物被风吹下，可能造成操作工手臂划伤，现场止血后送医。")</f>
        <v>棚顶有杂物，如果在大风天气，一名操作工巡检到这里杂物被风吹下，可能造成操作工手臂划伤，现场止血后送医。</v>
      </c>
      <c r="E153" s="19" t="s">
        <v>916</v>
      </c>
      <c r="F153" s="20" t="s">
        <v>42</v>
      </c>
      <c r="G153" s="22" t="s">
        <v>64</v>
      </c>
      <c r="H153" s="19" t="s">
        <v>44</v>
      </c>
      <c r="I153" s="19"/>
      <c r="J153" s="19" t="s">
        <v>175</v>
      </c>
      <c r="K153" s="19"/>
      <c r="L153" s="19"/>
      <c r="M153" s="19" t="s">
        <v>334</v>
      </c>
      <c r="N153" s="19" t="s">
        <v>917</v>
      </c>
      <c r="O153" s="19" t="s">
        <v>334</v>
      </c>
      <c r="P153" s="19" t="s">
        <v>346</v>
      </c>
      <c r="Q153" s="19" t="s">
        <v>882</v>
      </c>
      <c r="R153" s="19" t="s">
        <v>918</v>
      </c>
      <c r="S153" s="19"/>
      <c r="T153" s="19" t="s">
        <v>52</v>
      </c>
      <c r="U153" s="19" t="s">
        <v>89</v>
      </c>
      <c r="V153" s="19" t="s">
        <v>54</v>
      </c>
      <c r="W153" s="19" t="s">
        <v>72</v>
      </c>
      <c r="X153" s="19"/>
      <c r="Y153" s="19"/>
      <c r="Z153" s="19" t="s">
        <v>919</v>
      </c>
      <c r="AA153" s="19">
        <v>1</v>
      </c>
      <c r="AB153" s="19">
        <v>1</v>
      </c>
      <c r="AC153" s="19" t="s">
        <v>58</v>
      </c>
      <c r="AD153" s="19" t="s">
        <v>346</v>
      </c>
      <c r="AE153" s="19" t="s">
        <v>807</v>
      </c>
      <c r="AF153" s="19"/>
    </row>
    <row r="154" spans="1:34">
      <c r="A154" s="19">
        <v>146</v>
      </c>
      <c r="B154" s="19" t="s">
        <v>908</v>
      </c>
      <c r="C154" s="19" t="s">
        <v>789</v>
      </c>
      <c r="D154" s="19" t="str">
        <f>HYPERLINK("http://henontech.com/fieldsafety/harzard/harzard_show.php?rid=3421&amp;url=harzardrecs.php","深度处理加药间，盐酸泵进口阀漏液，操作人员发现及时立即通知维修人员。维修人员在检修时未带护目镜，盐酸泵压力上升，外溅起的盐酸喷溅到维修人员的右眼，立即用清水冲洗。送医经诊断右眼轻度灼伤，在家休养3日")</f>
        <v>深度处理加药间，盐酸泵进口阀漏液，操作人员发现及时立即通知维修人员。维修人员在检修时未带护目镜，盐酸泵压力上升，外溅起的盐酸喷溅到维修人员的右眼，立即用清水冲洗。送医经诊断右眼轻度灼伤，在家休养3日</v>
      </c>
      <c r="E154" s="19" t="s">
        <v>920</v>
      </c>
      <c r="F154" s="20" t="s">
        <v>42</v>
      </c>
      <c r="G154" s="22" t="s">
        <v>64</v>
      </c>
      <c r="H154" s="19" t="s">
        <v>44</v>
      </c>
      <c r="I154" s="19" t="s">
        <v>119</v>
      </c>
      <c r="J154" s="19" t="s">
        <v>45</v>
      </c>
      <c r="K154" s="19"/>
      <c r="L154" s="19"/>
      <c r="M154" s="19" t="s">
        <v>232</v>
      </c>
      <c r="N154" s="19" t="s">
        <v>417</v>
      </c>
      <c r="O154" s="19" t="s">
        <v>232</v>
      </c>
      <c r="P154" s="19" t="s">
        <v>234</v>
      </c>
      <c r="Q154" s="19" t="s">
        <v>878</v>
      </c>
      <c r="R154" s="19" t="s">
        <v>921</v>
      </c>
      <c r="S154" s="19" t="s">
        <v>922</v>
      </c>
      <c r="T154" s="19" t="s">
        <v>52</v>
      </c>
      <c r="U154" s="19" t="s">
        <v>89</v>
      </c>
      <c r="V154" s="19" t="s">
        <v>54</v>
      </c>
      <c r="W154" s="19" t="s">
        <v>72</v>
      </c>
      <c r="X154" s="19" t="s">
        <v>188</v>
      </c>
      <c r="Y154" s="19" t="s">
        <v>188</v>
      </c>
      <c r="Z154" s="19" t="s">
        <v>923</v>
      </c>
      <c r="AA154" s="19">
        <v>1</v>
      </c>
      <c r="AB154" s="19">
        <v>1</v>
      </c>
      <c r="AC154" s="19" t="s">
        <v>58</v>
      </c>
      <c r="AD154" s="19" t="s">
        <v>234</v>
      </c>
      <c r="AE154" s="19" t="s">
        <v>773</v>
      </c>
      <c r="AF154" s="19" t="s">
        <v>922</v>
      </c>
    </row>
    <row r="155" spans="1:34" customHeight="1" ht="42">
      <c r="A155" s="19">
        <v>147</v>
      </c>
      <c r="B155" s="19" t="s">
        <v>769</v>
      </c>
      <c r="C155" s="19" t="s">
        <v>898</v>
      </c>
      <c r="D155" s="19" t="str">
        <f>HYPERLINK("http://henontech.com/fieldsafety/harzard/harzard_show.php?rid=3431&amp;url=harzardrecs.php","老化水工业水泵接触器连接线接点发热")</f>
        <v>老化水工业水泵接触器连接线接点发热</v>
      </c>
      <c r="E155" s="19" t="s">
        <v>924</v>
      </c>
      <c r="F155" s="25" t="s">
        <v>828</v>
      </c>
      <c r="G155" s="22" t="s">
        <v>64</v>
      </c>
      <c r="H155" s="19" t="s">
        <v>44</v>
      </c>
      <c r="I155" s="19"/>
      <c r="J155" s="19"/>
      <c r="K155" s="19"/>
      <c r="L155" s="19" t="s">
        <v>99</v>
      </c>
      <c r="M155" s="19" t="s">
        <v>663</v>
      </c>
      <c r="N155" s="19" t="s">
        <v>925</v>
      </c>
      <c r="O155" s="19" t="s">
        <v>663</v>
      </c>
      <c r="P155" s="19" t="s">
        <v>925</v>
      </c>
      <c r="Q155" s="19" t="s">
        <v>926</v>
      </c>
      <c r="R155" s="19" t="s">
        <v>927</v>
      </c>
      <c r="S155" s="19"/>
      <c r="T155" s="19" t="s">
        <v>78</v>
      </c>
      <c r="U155" s="19" t="s">
        <v>79</v>
      </c>
      <c r="V155" s="19" t="s">
        <v>54</v>
      </c>
      <c r="W155" s="19" t="s">
        <v>81</v>
      </c>
      <c r="X155" s="19" t="s">
        <v>73</v>
      </c>
      <c r="Y155" s="19"/>
      <c r="Z155" s="19" t="s">
        <v>928</v>
      </c>
      <c r="AA155" s="19">
        <v>2</v>
      </c>
      <c r="AB155" s="19"/>
      <c r="AC155" s="19" t="s">
        <v>103</v>
      </c>
      <c r="AD155" s="19"/>
      <c r="AE155" s="19"/>
      <c r="AF155" s="19"/>
    </row>
    <row r="156" spans="1:34">
      <c r="A156" s="19">
        <v>148</v>
      </c>
      <c r="B156" s="19" t="s">
        <v>763</v>
      </c>
      <c r="C156" s="19" t="s">
        <v>929</v>
      </c>
      <c r="D156" s="19" t="str">
        <f>HYPERLINK("http://henontech.com/fieldsafety/harzard/harzard_show.php?rid=3494&amp;url=harzardrecs.php","遇大风天气，假如有一名操作人员从平台下经过。被松动的钢瓦砸伤右肩，造成局部红肿，简单处理后不影响正常工作")</f>
        <v>遇大风天气，假如有一名操作人员从平台下经过。被松动的钢瓦砸伤右肩，造成局部红肿，简单处理后不影响正常工作</v>
      </c>
      <c r="E156" s="19" t="s">
        <v>930</v>
      </c>
      <c r="F156" s="20" t="s">
        <v>42</v>
      </c>
      <c r="G156" s="22" t="s">
        <v>64</v>
      </c>
      <c r="H156" s="19" t="s">
        <v>44</v>
      </c>
      <c r="I156" s="19" t="s">
        <v>97</v>
      </c>
      <c r="J156" s="19" t="s">
        <v>527</v>
      </c>
      <c r="K156" s="19" t="s">
        <v>108</v>
      </c>
      <c r="L156" s="19" t="s">
        <v>99</v>
      </c>
      <c r="M156" s="19" t="s">
        <v>334</v>
      </c>
      <c r="N156" s="19" t="s">
        <v>931</v>
      </c>
      <c r="O156" s="19" t="s">
        <v>334</v>
      </c>
      <c r="P156" s="19" t="s">
        <v>346</v>
      </c>
      <c r="Q156" s="19" t="s">
        <v>932</v>
      </c>
      <c r="R156" s="19" t="s">
        <v>933</v>
      </c>
      <c r="S156" s="19"/>
      <c r="T156" s="19" t="s">
        <v>52</v>
      </c>
      <c r="U156" s="19" t="s">
        <v>70</v>
      </c>
      <c r="V156" s="19" t="s">
        <v>71</v>
      </c>
      <c r="W156" s="19" t="s">
        <v>72</v>
      </c>
      <c r="X156" s="19"/>
      <c r="Y156" s="19"/>
      <c r="Z156" s="19" t="s">
        <v>934</v>
      </c>
      <c r="AA156" s="19">
        <v>1</v>
      </c>
      <c r="AB156" s="19">
        <v>1</v>
      </c>
      <c r="AC156" s="19" t="s">
        <v>58</v>
      </c>
      <c r="AD156" s="19" t="s">
        <v>346</v>
      </c>
      <c r="AE156" s="19" t="s">
        <v>807</v>
      </c>
      <c r="AF156" s="19"/>
    </row>
    <row r="157" spans="1:34">
      <c r="A157" s="19">
        <v>149</v>
      </c>
      <c r="B157" s="19" t="s">
        <v>763</v>
      </c>
      <c r="C157" s="19" t="s">
        <v>578</v>
      </c>
      <c r="D157" s="19" t="str">
        <f>HYPERLINK("http://henontech.com/fieldsafety/harzard/harzard_show.php?rid=3495&amp;url=harzardrecs.php","料口处有一裸露钢筋，一员工在投煤作业时不慎拌倒造成右小腿受伤，送医确诊为右小腿骨折，医治20天休养90天后复工。")</f>
        <v>料口处有一裸露钢筋，一员工在投煤作业时不慎拌倒造成右小腿受伤，送医确诊为右小腿骨折，医治20天休养90天后复工。</v>
      </c>
      <c r="E157" s="19" t="s">
        <v>935</v>
      </c>
      <c r="F157" s="20" t="s">
        <v>42</v>
      </c>
      <c r="G157" s="21" t="s">
        <v>43</v>
      </c>
      <c r="H157" s="19" t="s">
        <v>44</v>
      </c>
      <c r="I157" s="19" t="s">
        <v>97</v>
      </c>
      <c r="J157" s="19" t="s">
        <v>527</v>
      </c>
      <c r="K157" s="19" t="s">
        <v>108</v>
      </c>
      <c r="L157" s="19" t="s">
        <v>99</v>
      </c>
      <c r="M157" s="19" t="s">
        <v>565</v>
      </c>
      <c r="N157" s="19" t="s">
        <v>936</v>
      </c>
      <c r="O157" s="19" t="s">
        <v>565</v>
      </c>
      <c r="P157" s="19" t="s">
        <v>627</v>
      </c>
      <c r="Q157" s="19" t="s">
        <v>868</v>
      </c>
      <c r="R157" s="19" t="s">
        <v>937</v>
      </c>
      <c r="S157" s="19"/>
      <c r="T157" s="19" t="s">
        <v>52</v>
      </c>
      <c r="U157" s="19" t="s">
        <v>89</v>
      </c>
      <c r="V157" s="19" t="s">
        <v>71</v>
      </c>
      <c r="W157" s="19" t="s">
        <v>55</v>
      </c>
      <c r="X157" s="19"/>
      <c r="Y157" s="19"/>
      <c r="Z157" s="19" t="s">
        <v>938</v>
      </c>
      <c r="AA157" s="19">
        <v>1</v>
      </c>
      <c r="AB157" s="19">
        <v>1</v>
      </c>
      <c r="AC157" s="19" t="s">
        <v>58</v>
      </c>
      <c r="AD157" s="19" t="s">
        <v>627</v>
      </c>
      <c r="AE157" s="19" t="s">
        <v>868</v>
      </c>
      <c r="AF157" s="19"/>
    </row>
    <row r="158" spans="1:34">
      <c r="A158" s="19">
        <v>150</v>
      </c>
      <c r="B158" s="19" t="s">
        <v>763</v>
      </c>
      <c r="C158" s="19" t="s">
        <v>586</v>
      </c>
      <c r="D158" s="19" t="str">
        <f>HYPERLINK("http://henontech.com/fieldsafety/harzard/harzard_show.php?rid=3496&amp;url=harzardrecs.php","吊装装置倒链未放入倒链盒，操作工巡检时被其绊倒，造成左手掌皮肤挫伤，到医务室清洗包扎后回岗位继续工作继续工作。")</f>
        <v>吊装装置倒链未放入倒链盒，操作工巡检时被其绊倒，造成左手掌皮肤挫伤，到医务室清洗包扎后回岗位继续工作继续工作。</v>
      </c>
      <c r="E158" s="19" t="s">
        <v>939</v>
      </c>
      <c r="F158" s="20" t="s">
        <v>42</v>
      </c>
      <c r="G158" s="21" t="s">
        <v>43</v>
      </c>
      <c r="H158" s="19" t="s">
        <v>44</v>
      </c>
      <c r="I158" s="19" t="s">
        <v>119</v>
      </c>
      <c r="J158" s="19" t="s">
        <v>527</v>
      </c>
      <c r="K158" s="19" t="s">
        <v>98</v>
      </c>
      <c r="L158" s="19" t="s">
        <v>99</v>
      </c>
      <c r="M158" s="19" t="s">
        <v>565</v>
      </c>
      <c r="N158" s="19" t="s">
        <v>940</v>
      </c>
      <c r="O158" s="19" t="s">
        <v>565</v>
      </c>
      <c r="P158" s="19" t="s">
        <v>627</v>
      </c>
      <c r="Q158" s="19" t="s">
        <v>868</v>
      </c>
      <c r="R158" s="19" t="s">
        <v>941</v>
      </c>
      <c r="S158" s="19"/>
      <c r="T158" s="19" t="s">
        <v>52</v>
      </c>
      <c r="U158" s="19" t="s">
        <v>70</v>
      </c>
      <c r="V158" s="19" t="s">
        <v>54</v>
      </c>
      <c r="W158" s="19" t="s">
        <v>81</v>
      </c>
      <c r="X158" s="19"/>
      <c r="Y158" s="19"/>
      <c r="Z158" s="19" t="s">
        <v>942</v>
      </c>
      <c r="AA158" s="19">
        <v>1</v>
      </c>
      <c r="AB158" s="19">
        <v>1</v>
      </c>
      <c r="AC158" s="19" t="s">
        <v>58</v>
      </c>
      <c r="AD158" s="19" t="s">
        <v>627</v>
      </c>
      <c r="AE158" s="19" t="s">
        <v>868</v>
      </c>
      <c r="AF158" s="19"/>
    </row>
    <row r="159" spans="1:34">
      <c r="A159" s="19">
        <v>151</v>
      </c>
      <c r="B159" s="19" t="s">
        <v>763</v>
      </c>
      <c r="C159" s="19" t="s">
        <v>563</v>
      </c>
      <c r="D159" s="19" t="str">
        <f>HYPERLINK("http://henontech.com/fieldsafety/harzard/harzard_show.php?rid=3498&amp;url=harzardrecs.php","一名员工在巡检时，不慎被刮煤板把手绊倒，导致下颌受伤，送医确诊为下颌皮肤深度挫裂，缝合五针，住院治疗三天，回家休养七天后复工")</f>
        <v>一名员工在巡检时，不慎被刮煤板把手绊倒，导致下颌受伤，送医确诊为下颌皮肤深度挫裂，缝合五针，住院治疗三天，回家休养七天后复工</v>
      </c>
      <c r="E159" s="19" t="s">
        <v>943</v>
      </c>
      <c r="F159" s="20" t="s">
        <v>42</v>
      </c>
      <c r="G159" s="21" t="s">
        <v>43</v>
      </c>
      <c r="H159" s="19" t="s">
        <v>44</v>
      </c>
      <c r="I159" s="19" t="s">
        <v>119</v>
      </c>
      <c r="J159" s="19" t="s">
        <v>527</v>
      </c>
      <c r="K159" s="19" t="s">
        <v>98</v>
      </c>
      <c r="L159" s="19" t="s">
        <v>99</v>
      </c>
      <c r="M159" s="19" t="s">
        <v>565</v>
      </c>
      <c r="N159" s="19" t="s">
        <v>944</v>
      </c>
      <c r="O159" s="19" t="s">
        <v>565</v>
      </c>
      <c r="P159" s="19" t="s">
        <v>627</v>
      </c>
      <c r="Q159" s="19" t="s">
        <v>868</v>
      </c>
      <c r="R159" s="19" t="s">
        <v>628</v>
      </c>
      <c r="S159" s="19"/>
      <c r="T159" s="19" t="s">
        <v>52</v>
      </c>
      <c r="U159" s="19" t="s">
        <v>89</v>
      </c>
      <c r="V159" s="19" t="s">
        <v>71</v>
      </c>
      <c r="W159" s="19" t="s">
        <v>55</v>
      </c>
      <c r="X159" s="19"/>
      <c r="Y159" s="19"/>
      <c r="Z159" s="19" t="s">
        <v>945</v>
      </c>
      <c r="AA159" s="19">
        <v>1</v>
      </c>
      <c r="AB159" s="19">
        <v>1</v>
      </c>
      <c r="AC159" s="19" t="s">
        <v>58</v>
      </c>
      <c r="AD159" s="19" t="s">
        <v>627</v>
      </c>
      <c r="AE159" s="19" t="s">
        <v>868</v>
      </c>
      <c r="AF159" s="19"/>
    </row>
    <row r="160" spans="1:34">
      <c r="A160" s="19">
        <v>152</v>
      </c>
      <c r="B160" s="19" t="s">
        <v>763</v>
      </c>
      <c r="C160" s="19" t="s">
        <v>946</v>
      </c>
      <c r="D160" s="19" t="str">
        <f>HYPERLINK("http://henontech.com/fieldsafety/harzard/harzard_show.php?rid=3502&amp;url=harzardrecs.php","4楼一蒸汽吹扫管焊接处开焊，蒸汽喷出，一名操作工从此经过时被蒸汽烫伤到左腿，立即用大量冷水冲洗烫伤的地方进行降温并防止热量往里扩散。经过处理后无大碍不影响工作")</f>
        <v>4楼一蒸汽吹扫管焊接处开焊，蒸汽喷出，一名操作工从此经过时被蒸汽烫伤到左腿，立即用大量冷水冲洗烫伤的地方进行降温并防止热量往里扩散。经过处理后无大碍不影响工作</v>
      </c>
      <c r="E160" s="19" t="s">
        <v>947</v>
      </c>
      <c r="F160" s="20" t="s">
        <v>42</v>
      </c>
      <c r="G160" s="22" t="s">
        <v>64</v>
      </c>
      <c r="H160" s="19" t="s">
        <v>44</v>
      </c>
      <c r="I160" s="19" t="s">
        <v>97</v>
      </c>
      <c r="J160" s="19" t="s">
        <v>45</v>
      </c>
      <c r="K160" s="19" t="s">
        <v>170</v>
      </c>
      <c r="L160" s="19" t="s">
        <v>99</v>
      </c>
      <c r="M160" s="19" t="s">
        <v>334</v>
      </c>
      <c r="N160" s="19" t="s">
        <v>948</v>
      </c>
      <c r="O160" s="19" t="s">
        <v>334</v>
      </c>
      <c r="P160" s="19" t="s">
        <v>346</v>
      </c>
      <c r="Q160" s="19" t="s">
        <v>932</v>
      </c>
      <c r="R160" s="19" t="s">
        <v>949</v>
      </c>
      <c r="S160" s="19"/>
      <c r="T160" s="19" t="s">
        <v>52</v>
      </c>
      <c r="U160" s="19" t="s">
        <v>70</v>
      </c>
      <c r="V160" s="19" t="s">
        <v>80</v>
      </c>
      <c r="W160" s="19" t="s">
        <v>55</v>
      </c>
      <c r="X160" s="19"/>
      <c r="Y160" s="19"/>
      <c r="Z160" s="19" t="s">
        <v>950</v>
      </c>
      <c r="AA160" s="19">
        <v>1</v>
      </c>
      <c r="AB160" s="19">
        <v>1</v>
      </c>
      <c r="AC160" s="19" t="s">
        <v>58</v>
      </c>
      <c r="AD160" s="19" t="s">
        <v>346</v>
      </c>
      <c r="AE160" s="19" t="s">
        <v>878</v>
      </c>
      <c r="AF160" s="19"/>
    </row>
    <row r="161" spans="1:34">
      <c r="A161" s="19">
        <v>153</v>
      </c>
      <c r="B161" s="19" t="s">
        <v>788</v>
      </c>
      <c r="C161" s="19" t="s">
        <v>898</v>
      </c>
      <c r="D161" s="19" t="str">
        <f>HYPERLINK("http://henontech.com/fieldsafety/harzard/harzard_show.php?rid=3522&amp;url=harzardrecs.php","污水反渗透浓水管固定卡掉落导致运行中浓水管断裂至其设备停运3小时")</f>
        <v>污水反渗透浓水管固定卡掉落导致运行中浓水管断裂至其设备停运3小时</v>
      </c>
      <c r="E161" s="19" t="s">
        <v>951</v>
      </c>
      <c r="F161" s="20" t="s">
        <v>42</v>
      </c>
      <c r="G161" s="21" t="s">
        <v>43</v>
      </c>
      <c r="H161" s="19" t="s">
        <v>44</v>
      </c>
      <c r="I161" s="19" t="s">
        <v>97</v>
      </c>
      <c r="J161" s="19" t="s">
        <v>45</v>
      </c>
      <c r="K161" s="19" t="s">
        <v>170</v>
      </c>
      <c r="L161" s="19" t="s">
        <v>99</v>
      </c>
      <c r="M161" s="19" t="s">
        <v>663</v>
      </c>
      <c r="N161" s="19" t="s">
        <v>952</v>
      </c>
      <c r="O161" s="19" t="s">
        <v>663</v>
      </c>
      <c r="P161" s="19" t="s">
        <v>664</v>
      </c>
      <c r="Q161" s="19" t="s">
        <v>860</v>
      </c>
      <c r="R161" s="19" t="s">
        <v>953</v>
      </c>
      <c r="S161" s="19"/>
      <c r="T161" s="19" t="s">
        <v>78</v>
      </c>
      <c r="U161" s="19" t="s">
        <v>79</v>
      </c>
      <c r="V161" s="19" t="s">
        <v>54</v>
      </c>
      <c r="W161" s="19" t="s">
        <v>81</v>
      </c>
      <c r="X161" s="19"/>
      <c r="Y161" s="19"/>
      <c r="Z161" s="19" t="s">
        <v>954</v>
      </c>
      <c r="AA161" s="19">
        <v>1</v>
      </c>
      <c r="AB161" s="19">
        <v>1</v>
      </c>
      <c r="AC161" s="19" t="s">
        <v>58</v>
      </c>
      <c r="AD161" s="19" t="s">
        <v>664</v>
      </c>
      <c r="AE161" s="19" t="s">
        <v>878</v>
      </c>
      <c r="AF161" s="19" t="s">
        <v>955</v>
      </c>
    </row>
    <row r="162" spans="1:34">
      <c r="A162" s="19">
        <v>154</v>
      </c>
      <c r="B162" s="19" t="s">
        <v>788</v>
      </c>
      <c r="C162" s="19" t="s">
        <v>351</v>
      </c>
      <c r="D162" s="19" t="str">
        <f>HYPERLINK("http://henontech.com/fieldsafety/harzard/harzard_show.php?rid=3524&amp;url=harzardrecs.php","南脱硫预冷塔二层平台处有一块废弃铝皮，如果一名操作人员巡检经过该处时，铝皮从二层平台掉落砸中操作人员左肩部，造成一人左肩部轻微擦伤，经简单处理后不影响正常工作。")</f>
        <v>南脱硫预冷塔二层平台处有一块废弃铝皮，如果一名操作人员巡检经过该处时，铝皮从二层平台掉落砸中操作人员左肩部，造成一人左肩部轻微擦伤，经简单处理后不影响正常工作。</v>
      </c>
      <c r="E162" s="19" t="s">
        <v>956</v>
      </c>
      <c r="F162" s="20" t="s">
        <v>42</v>
      </c>
      <c r="G162" s="22" t="s">
        <v>64</v>
      </c>
      <c r="H162" s="19" t="s">
        <v>44</v>
      </c>
      <c r="I162" s="19" t="s">
        <v>119</v>
      </c>
      <c r="J162" s="19" t="s">
        <v>527</v>
      </c>
      <c r="K162" s="19" t="s">
        <v>108</v>
      </c>
      <c r="L162" s="19" t="s">
        <v>99</v>
      </c>
      <c r="M162" s="19" t="s">
        <v>334</v>
      </c>
      <c r="N162" s="19" t="s">
        <v>957</v>
      </c>
      <c r="O162" s="19" t="s">
        <v>334</v>
      </c>
      <c r="P162" s="19" t="s">
        <v>346</v>
      </c>
      <c r="Q162" s="19" t="s">
        <v>932</v>
      </c>
      <c r="R162" s="19" t="s">
        <v>958</v>
      </c>
      <c r="S162" s="19"/>
      <c r="T162" s="19" t="s">
        <v>52</v>
      </c>
      <c r="U162" s="19" t="s">
        <v>70</v>
      </c>
      <c r="V162" s="19" t="s">
        <v>71</v>
      </c>
      <c r="W162" s="19" t="s">
        <v>72</v>
      </c>
      <c r="X162" s="19"/>
      <c r="Y162" s="19"/>
      <c r="Z162" s="19" t="s">
        <v>959</v>
      </c>
      <c r="AA162" s="19">
        <v>1</v>
      </c>
      <c r="AB162" s="19">
        <v>1</v>
      </c>
      <c r="AC162" s="19" t="s">
        <v>58</v>
      </c>
      <c r="AD162" s="19" t="s">
        <v>346</v>
      </c>
      <c r="AE162" s="19" t="s">
        <v>960</v>
      </c>
      <c r="AF162" s="19"/>
    </row>
    <row r="163" spans="1:34">
      <c r="A163" s="19">
        <v>155</v>
      </c>
      <c r="B163" s="19" t="s">
        <v>788</v>
      </c>
      <c r="C163" s="19" t="s">
        <v>885</v>
      </c>
      <c r="D163" s="19" t="str">
        <f>HYPERLINK("http://henontech.com/fieldsafety/harzard/harzard_show.php?rid=3532&amp;url=harzardrecs.php","75吨锅炉炉门处高温，无警示标识 ，一名巡检工经过时不慎手部触碰此处，导致人员烫伤，送医治疗七天后恢复健康出院。")</f>
        <v>75吨锅炉炉门处高温，无警示标识 ，一名巡检工经过时不慎手部触碰此处，导致人员烫伤，送医治疗七天后恢复健康出院。</v>
      </c>
      <c r="E163" s="19" t="s">
        <v>961</v>
      </c>
      <c r="F163" s="20" t="s">
        <v>42</v>
      </c>
      <c r="G163" s="22" t="s">
        <v>64</v>
      </c>
      <c r="H163" s="19" t="s">
        <v>44</v>
      </c>
      <c r="I163" s="19"/>
      <c r="J163" s="19" t="s">
        <v>107</v>
      </c>
      <c r="K163" s="19"/>
      <c r="L163" s="19"/>
      <c r="M163" s="19" t="s">
        <v>671</v>
      </c>
      <c r="N163" s="19" t="s">
        <v>962</v>
      </c>
      <c r="O163" s="19" t="s">
        <v>663</v>
      </c>
      <c r="P163" s="19" t="s">
        <v>664</v>
      </c>
      <c r="Q163" s="19" t="s">
        <v>888</v>
      </c>
      <c r="R163" s="19" t="s">
        <v>963</v>
      </c>
      <c r="S163" s="19"/>
      <c r="T163" s="19" t="s">
        <v>52</v>
      </c>
      <c r="U163" s="19" t="s">
        <v>89</v>
      </c>
      <c r="V163" s="19" t="s">
        <v>71</v>
      </c>
      <c r="W163" s="19" t="s">
        <v>55</v>
      </c>
      <c r="X163" s="19"/>
      <c r="Y163" s="19"/>
      <c r="Z163" s="19" t="s">
        <v>964</v>
      </c>
      <c r="AA163" s="19">
        <v>1</v>
      </c>
      <c r="AB163" s="19">
        <v>1</v>
      </c>
      <c r="AC163" s="19" t="s">
        <v>58</v>
      </c>
      <c r="AD163" s="19" t="s">
        <v>664</v>
      </c>
      <c r="AE163" s="19" t="s">
        <v>965</v>
      </c>
      <c r="AF163" s="19"/>
    </row>
    <row r="164" spans="1:34">
      <c r="A164" s="19">
        <v>156</v>
      </c>
      <c r="B164" s="19" t="s">
        <v>788</v>
      </c>
      <c r="C164" s="19" t="s">
        <v>898</v>
      </c>
      <c r="D164" s="19" t="str">
        <f>HYPERLINK("http://henontech.com/fieldsafety/harzard/harzard_show.php?rid=3533&amp;url=harzardrecs.php","火灾报警器旁边堆积杂物，当附近发生火灾时操作工急忙去按报警器被拌倒磕伤膝盖未及时撤出，全身轻度烧伤，住院治疗一个月")</f>
        <v>火灾报警器旁边堆积杂物，当附近发生火灾时操作工急忙去按报警器被拌倒磕伤膝盖未及时撤出，全身轻度烧伤，住院治疗一个月</v>
      </c>
      <c r="E164" s="19" t="s">
        <v>966</v>
      </c>
      <c r="F164" s="20" t="s">
        <v>42</v>
      </c>
      <c r="G164" s="22" t="s">
        <v>64</v>
      </c>
      <c r="H164" s="19" t="s">
        <v>44</v>
      </c>
      <c r="I164" s="19"/>
      <c r="J164" s="19"/>
      <c r="K164" s="19" t="s">
        <v>170</v>
      </c>
      <c r="L164" s="19"/>
      <c r="M164" s="19" t="s">
        <v>241</v>
      </c>
      <c r="N164" s="19" t="s">
        <v>369</v>
      </c>
      <c r="O164" s="19" t="s">
        <v>663</v>
      </c>
      <c r="P164" s="19" t="s">
        <v>664</v>
      </c>
      <c r="Q164" s="19" t="s">
        <v>888</v>
      </c>
      <c r="R164" s="19" t="s">
        <v>963</v>
      </c>
      <c r="S164" s="19"/>
      <c r="T164" s="19" t="s">
        <v>52</v>
      </c>
      <c r="U164" s="19" t="s">
        <v>89</v>
      </c>
      <c r="V164" s="19" t="s">
        <v>71</v>
      </c>
      <c r="W164" s="19" t="s">
        <v>55</v>
      </c>
      <c r="X164" s="19"/>
      <c r="Y164" s="19"/>
      <c r="Z164" s="19" t="s">
        <v>967</v>
      </c>
      <c r="AA164" s="19">
        <v>1</v>
      </c>
      <c r="AB164" s="19">
        <v>1</v>
      </c>
      <c r="AC164" s="19" t="s">
        <v>58</v>
      </c>
      <c r="AD164" s="19" t="s">
        <v>664</v>
      </c>
      <c r="AE164" s="19" t="s">
        <v>751</v>
      </c>
      <c r="AF164" s="19" t="s">
        <v>968</v>
      </c>
    </row>
    <row r="165" spans="1:34">
      <c r="A165" s="19">
        <v>157</v>
      </c>
      <c r="B165" s="19" t="s">
        <v>788</v>
      </c>
      <c r="C165" s="19" t="s">
        <v>578</v>
      </c>
      <c r="D165" s="19" t="str">
        <f>HYPERLINK("http://henontech.com/fieldsafety/harzard/harzard_show.php?rid=3534&amp;url=harzardrecs.php","一名操作工巡检煤场，不慎被裸露在外的钢筋绊倒，左手腕受伤，送医确诊，左手手腕骨折，住院治疗15天，回家休养30天后复工。")</f>
        <v>一名操作工巡检煤场，不慎被裸露在外的钢筋绊倒，左手腕受伤，送医确诊，左手手腕骨折，住院治疗15天，回家休养30天后复工。</v>
      </c>
      <c r="E165" s="19" t="s">
        <v>969</v>
      </c>
      <c r="F165" s="20" t="s">
        <v>42</v>
      </c>
      <c r="G165" s="21" t="s">
        <v>43</v>
      </c>
      <c r="H165" s="19" t="s">
        <v>44</v>
      </c>
      <c r="I165" s="19" t="s">
        <v>97</v>
      </c>
      <c r="J165" s="19" t="s">
        <v>527</v>
      </c>
      <c r="K165" s="19" t="s">
        <v>108</v>
      </c>
      <c r="L165" s="19" t="s">
        <v>99</v>
      </c>
      <c r="M165" s="19" t="s">
        <v>565</v>
      </c>
      <c r="N165" s="19" t="s">
        <v>970</v>
      </c>
      <c r="O165" s="19" t="s">
        <v>565</v>
      </c>
      <c r="P165" s="19" t="s">
        <v>627</v>
      </c>
      <c r="Q165" s="19" t="s">
        <v>868</v>
      </c>
      <c r="R165" s="19" t="s">
        <v>937</v>
      </c>
      <c r="S165" s="19"/>
      <c r="T165" s="19" t="s">
        <v>52</v>
      </c>
      <c r="U165" s="19" t="s">
        <v>89</v>
      </c>
      <c r="V165" s="19" t="s">
        <v>71</v>
      </c>
      <c r="W165" s="19" t="s">
        <v>55</v>
      </c>
      <c r="X165" s="19"/>
      <c r="Y165" s="19"/>
      <c r="Z165" s="19" t="s">
        <v>971</v>
      </c>
      <c r="AA165" s="19">
        <v>1</v>
      </c>
      <c r="AB165" s="19">
        <v>1</v>
      </c>
      <c r="AC165" s="19" t="s">
        <v>58</v>
      </c>
      <c r="AD165" s="19" t="s">
        <v>627</v>
      </c>
      <c r="AE165" s="19" t="s">
        <v>868</v>
      </c>
      <c r="AF165" s="19"/>
    </row>
    <row r="166" spans="1:34">
      <c r="A166" s="19">
        <v>158</v>
      </c>
      <c r="B166" s="19" t="s">
        <v>788</v>
      </c>
      <c r="C166" s="19" t="s">
        <v>578</v>
      </c>
      <c r="D166" s="19" t="str">
        <f>HYPERLINK("http://henontech.com/fieldsafety/harzard/harzard_show.php?rid=3535&amp;url=harzardrecs.php","一人巡检时，由于水沟缺失盖板，不慎左腿跌入其中，造成腿不划伤，经公司医务室简单处理后，继续工作。")</f>
        <v>一人巡检时，由于水沟缺失盖板，不慎左腿跌入其中，造成腿不划伤，经公司医务室简单处理后，继续工作。</v>
      </c>
      <c r="E166" s="19" t="s">
        <v>972</v>
      </c>
      <c r="F166" s="20" t="s">
        <v>42</v>
      </c>
      <c r="G166" s="21" t="s">
        <v>43</v>
      </c>
      <c r="H166" s="19" t="s">
        <v>44</v>
      </c>
      <c r="I166" s="19" t="s">
        <v>119</v>
      </c>
      <c r="J166" s="19" t="s">
        <v>527</v>
      </c>
      <c r="K166" s="19" t="s">
        <v>98</v>
      </c>
      <c r="L166" s="19" t="s">
        <v>99</v>
      </c>
      <c r="M166" s="19" t="s">
        <v>565</v>
      </c>
      <c r="N166" s="19" t="s">
        <v>973</v>
      </c>
      <c r="O166" s="19" t="s">
        <v>565</v>
      </c>
      <c r="P166" s="19" t="s">
        <v>627</v>
      </c>
      <c r="Q166" s="19" t="s">
        <v>868</v>
      </c>
      <c r="R166" s="19" t="s">
        <v>974</v>
      </c>
      <c r="S166" s="19"/>
      <c r="T166" s="19" t="s">
        <v>52</v>
      </c>
      <c r="U166" s="19" t="s">
        <v>70</v>
      </c>
      <c r="V166" s="19" t="s">
        <v>71</v>
      </c>
      <c r="W166" s="19" t="s">
        <v>72</v>
      </c>
      <c r="X166" s="19"/>
      <c r="Y166" s="19"/>
      <c r="Z166" s="19" t="s">
        <v>975</v>
      </c>
      <c r="AA166" s="19">
        <v>1</v>
      </c>
      <c r="AB166" s="19">
        <v>1</v>
      </c>
      <c r="AC166" s="19" t="s">
        <v>58</v>
      </c>
      <c r="AD166" s="19" t="s">
        <v>627</v>
      </c>
      <c r="AE166" s="19" t="s">
        <v>868</v>
      </c>
      <c r="AF166" s="19"/>
    </row>
    <row r="167" spans="1:34">
      <c r="A167" s="19">
        <v>159</v>
      </c>
      <c r="B167" s="19" t="s">
        <v>976</v>
      </c>
      <c r="C167" s="19" t="s">
        <v>496</v>
      </c>
      <c r="D167" s="19" t="str">
        <f>HYPERLINK("http://henontech.com/fieldsafety/harzard/harzard_show.php?rid=3545&amp;url=harzardrecs.php","洗脱苯一名操作工巡检北管式炉，因电缆桥架盖板未固定，遇大风天气吹落，划伤操作工后颈部！")</f>
        <v>洗脱苯一名操作工巡检北管式炉，因电缆桥架盖板未固定，遇大风天气吹落，划伤操作工后颈部！</v>
      </c>
      <c r="E167" s="19" t="s">
        <v>977</v>
      </c>
      <c r="F167" s="20" t="s">
        <v>42</v>
      </c>
      <c r="G167" s="22" t="s">
        <v>64</v>
      </c>
      <c r="H167" s="19" t="s">
        <v>44</v>
      </c>
      <c r="I167" s="19" t="s">
        <v>119</v>
      </c>
      <c r="J167" s="19" t="s">
        <v>45</v>
      </c>
      <c r="K167" s="19" t="s">
        <v>108</v>
      </c>
      <c r="L167" s="19" t="s">
        <v>99</v>
      </c>
      <c r="M167" s="19" t="s">
        <v>334</v>
      </c>
      <c r="N167" s="19" t="s">
        <v>498</v>
      </c>
      <c r="O167" s="19" t="s">
        <v>334</v>
      </c>
      <c r="P167" s="19" t="s">
        <v>346</v>
      </c>
      <c r="Q167" s="19" t="s">
        <v>978</v>
      </c>
      <c r="R167" s="19" t="s">
        <v>979</v>
      </c>
      <c r="S167" s="19"/>
      <c r="T167" s="19" t="s">
        <v>52</v>
      </c>
      <c r="U167" s="19" t="s">
        <v>89</v>
      </c>
      <c r="V167" s="19" t="s">
        <v>54</v>
      </c>
      <c r="W167" s="19" t="s">
        <v>72</v>
      </c>
      <c r="X167" s="19"/>
      <c r="Y167" s="19"/>
      <c r="Z167" s="19" t="s">
        <v>980</v>
      </c>
      <c r="AA167" s="19">
        <v>1</v>
      </c>
      <c r="AB167" s="19">
        <v>1</v>
      </c>
      <c r="AC167" s="19" t="s">
        <v>58</v>
      </c>
      <c r="AD167" s="19" t="s">
        <v>346</v>
      </c>
      <c r="AE167" s="19" t="s">
        <v>746</v>
      </c>
      <c r="AF167" s="19"/>
    </row>
    <row r="168" spans="1:34">
      <c r="A168" s="19">
        <v>160</v>
      </c>
      <c r="B168" s="19" t="s">
        <v>976</v>
      </c>
      <c r="C168" s="19" t="s">
        <v>981</v>
      </c>
      <c r="D168" s="19" t="str">
        <f>HYPERLINK("http://henontech.com/fieldsafety/harzard/harzard_show.php?rid=3547&amp;url=harzardrecs.php","2#站低浓度管道流量计前法兰焊接处渗漏")</f>
        <v>2#站低浓度管道流量计前法兰焊接处渗漏</v>
      </c>
      <c r="E168" s="19" t="s">
        <v>982</v>
      </c>
      <c r="F168" s="20" t="s">
        <v>42</v>
      </c>
      <c r="G168" s="22" t="s">
        <v>64</v>
      </c>
      <c r="H168" s="19" t="s">
        <v>44</v>
      </c>
      <c r="I168" s="19"/>
      <c r="J168" s="19" t="s">
        <v>45</v>
      </c>
      <c r="K168" s="19" t="s">
        <v>98</v>
      </c>
      <c r="L168" s="19"/>
      <c r="M168" s="19" t="s">
        <v>232</v>
      </c>
      <c r="N168" s="19" t="s">
        <v>983</v>
      </c>
      <c r="O168" s="19" t="s">
        <v>232</v>
      </c>
      <c r="P168" s="19" t="s">
        <v>234</v>
      </c>
      <c r="Q168" s="19" t="s">
        <v>860</v>
      </c>
      <c r="R168" s="19" t="s">
        <v>418</v>
      </c>
      <c r="S168" s="19" t="s">
        <v>984</v>
      </c>
      <c r="T168" s="19" t="s">
        <v>200</v>
      </c>
      <c r="U168" s="19" t="s">
        <v>79</v>
      </c>
      <c r="V168" s="19" t="s">
        <v>80</v>
      </c>
      <c r="W168" s="19" t="s">
        <v>81</v>
      </c>
      <c r="X168" s="19" t="s">
        <v>73</v>
      </c>
      <c r="Y168" s="19" t="s">
        <v>73</v>
      </c>
      <c r="Z168" s="19" t="s">
        <v>985</v>
      </c>
      <c r="AA168" s="19">
        <v>1</v>
      </c>
      <c r="AB168" s="19">
        <v>1</v>
      </c>
      <c r="AC168" s="19" t="s">
        <v>58</v>
      </c>
      <c r="AD168" s="19" t="s">
        <v>234</v>
      </c>
      <c r="AE168" s="19" t="s">
        <v>732</v>
      </c>
      <c r="AF168" s="19"/>
    </row>
    <row r="169" spans="1:34">
      <c r="A169" s="19">
        <v>161</v>
      </c>
      <c r="B169" s="19" t="s">
        <v>976</v>
      </c>
      <c r="C169" s="19" t="s">
        <v>476</v>
      </c>
      <c r="D169" s="19" t="str">
        <f>HYPERLINK("http://henontech.com/fieldsafety/harzard/harzard_show.php?rid=3548&amp;url=harzardrecs.php","管式炉水封槽盖板未盖，可能造成操作人员夜间巡检时因视线不清陷落池内，造成小腿摔伤")</f>
        <v>管式炉水封槽盖板未盖，可能造成操作人员夜间巡检时因视线不清陷落池内，造成小腿摔伤</v>
      </c>
      <c r="E169" s="19" t="s">
        <v>986</v>
      </c>
      <c r="F169" s="20" t="s">
        <v>42</v>
      </c>
      <c r="G169" s="22" t="s">
        <v>64</v>
      </c>
      <c r="H169" s="19" t="s">
        <v>44</v>
      </c>
      <c r="I169" s="19" t="s">
        <v>119</v>
      </c>
      <c r="J169" s="19" t="s">
        <v>182</v>
      </c>
      <c r="K169" s="19" t="s">
        <v>108</v>
      </c>
      <c r="L169" s="19" t="s">
        <v>99</v>
      </c>
      <c r="M169" s="19" t="s">
        <v>334</v>
      </c>
      <c r="N169" s="19" t="s">
        <v>987</v>
      </c>
      <c r="O169" s="19" t="s">
        <v>334</v>
      </c>
      <c r="P169" s="19" t="s">
        <v>346</v>
      </c>
      <c r="Q169" s="19" t="s">
        <v>988</v>
      </c>
      <c r="R169" s="19" t="s">
        <v>989</v>
      </c>
      <c r="S169" s="19"/>
      <c r="T169" s="19" t="s">
        <v>52</v>
      </c>
      <c r="U169" s="19" t="s">
        <v>89</v>
      </c>
      <c r="V169" s="19" t="s">
        <v>71</v>
      </c>
      <c r="W169" s="19" t="s">
        <v>55</v>
      </c>
      <c r="X169" s="19"/>
      <c r="Y169" s="19"/>
      <c r="Z169" s="19" t="s">
        <v>990</v>
      </c>
      <c r="AA169" s="19">
        <v>1</v>
      </c>
      <c r="AB169" s="19">
        <v>1</v>
      </c>
      <c r="AC169" s="19" t="s">
        <v>58</v>
      </c>
      <c r="AD169" s="19" t="s">
        <v>346</v>
      </c>
      <c r="AE169" s="19" t="s">
        <v>819</v>
      </c>
      <c r="AF169" s="19"/>
    </row>
    <row r="170" spans="1:34" customHeight="1" ht="42">
      <c r="A170" s="19">
        <v>162</v>
      </c>
      <c r="B170" s="19" t="s">
        <v>976</v>
      </c>
      <c r="C170" s="19" t="s">
        <v>563</v>
      </c>
      <c r="D170" s="19" t="str">
        <f>HYPERLINK("http://henontech.com/fieldsafety/harzard/harzard_show.php?rid=3554&amp;url=harzardrecs.php","皮带运输机托辊磨破，容易造成磨带划带")</f>
        <v>皮带运输机托辊磨破，容易造成磨带划带</v>
      </c>
      <c r="E170" s="19" t="s">
        <v>991</v>
      </c>
      <c r="F170" s="20" t="s">
        <v>42</v>
      </c>
      <c r="G170" s="21" t="s">
        <v>43</v>
      </c>
      <c r="H170" s="19" t="s">
        <v>44</v>
      </c>
      <c r="I170" s="19" t="s">
        <v>97</v>
      </c>
      <c r="J170" s="19" t="s">
        <v>45</v>
      </c>
      <c r="K170" s="19" t="s">
        <v>176</v>
      </c>
      <c r="L170" s="19" t="s">
        <v>99</v>
      </c>
      <c r="M170" s="19" t="s">
        <v>565</v>
      </c>
      <c r="N170" s="19" t="s">
        <v>992</v>
      </c>
      <c r="O170" s="19" t="s">
        <v>565</v>
      </c>
      <c r="P170" s="19" t="s">
        <v>633</v>
      </c>
      <c r="Q170" s="19" t="s">
        <v>746</v>
      </c>
      <c r="R170" s="19" t="s">
        <v>581</v>
      </c>
      <c r="S170" s="19"/>
      <c r="T170" s="19" t="s">
        <v>78</v>
      </c>
      <c r="U170" s="19" t="s">
        <v>79</v>
      </c>
      <c r="V170" s="19" t="s">
        <v>80</v>
      </c>
      <c r="W170" s="19" t="s">
        <v>81</v>
      </c>
      <c r="X170" s="19" t="s">
        <v>323</v>
      </c>
      <c r="Y170" s="19" t="s">
        <v>323</v>
      </c>
      <c r="Z170" s="19" t="s">
        <v>993</v>
      </c>
      <c r="AA170" s="19">
        <v>2</v>
      </c>
      <c r="AB170" s="19">
        <v>2</v>
      </c>
      <c r="AC170" s="19" t="s">
        <v>58</v>
      </c>
      <c r="AD170" s="19" t="s">
        <v>633</v>
      </c>
      <c r="AE170" s="19" t="s">
        <v>746</v>
      </c>
      <c r="AF170" s="19"/>
    </row>
    <row r="171" spans="1:34">
      <c r="A171" s="19">
        <v>163</v>
      </c>
      <c r="B171" s="19" t="s">
        <v>976</v>
      </c>
      <c r="C171" s="19" t="s">
        <v>869</v>
      </c>
      <c r="D171" s="19" t="str">
        <f>HYPERLINK("http://henontech.com/fieldsafety/harzard/harzard_show.php?rid=3557&amp;url=harzardrecs.php","粗苯东管道架上有废管道一根，一名操作人员巡检此处若坠落可能会砸到头部")</f>
        <v>粗苯东管道架上有废管道一根，一名操作人员巡检此处若坠落可能会砸到头部</v>
      </c>
      <c r="E171" s="19" t="s">
        <v>994</v>
      </c>
      <c r="F171" s="20" t="s">
        <v>42</v>
      </c>
      <c r="G171" s="22" t="s">
        <v>64</v>
      </c>
      <c r="H171" s="19" t="s">
        <v>44</v>
      </c>
      <c r="I171" s="19" t="s">
        <v>97</v>
      </c>
      <c r="J171" s="19" t="s">
        <v>175</v>
      </c>
      <c r="K171" s="19" t="s">
        <v>108</v>
      </c>
      <c r="L171" s="19" t="s">
        <v>99</v>
      </c>
      <c r="M171" s="19" t="s">
        <v>334</v>
      </c>
      <c r="N171" s="19" t="s">
        <v>995</v>
      </c>
      <c r="O171" s="19" t="s">
        <v>334</v>
      </c>
      <c r="P171" s="19" t="s">
        <v>346</v>
      </c>
      <c r="Q171" s="19" t="s">
        <v>978</v>
      </c>
      <c r="R171" s="19" t="s">
        <v>996</v>
      </c>
      <c r="S171" s="19"/>
      <c r="T171" s="19" t="s">
        <v>52</v>
      </c>
      <c r="U171" s="19" t="s">
        <v>53</v>
      </c>
      <c r="V171" s="19" t="s">
        <v>71</v>
      </c>
      <c r="W171" s="19" t="s">
        <v>116</v>
      </c>
      <c r="X171" s="19"/>
      <c r="Y171" s="19"/>
      <c r="Z171" s="19" t="s">
        <v>997</v>
      </c>
      <c r="AA171" s="19">
        <v>1</v>
      </c>
      <c r="AB171" s="19">
        <v>1</v>
      </c>
      <c r="AC171" s="19" t="s">
        <v>58</v>
      </c>
      <c r="AD171" s="19" t="s">
        <v>346</v>
      </c>
      <c r="AE171" s="19" t="s">
        <v>819</v>
      </c>
      <c r="AF171" s="19"/>
    </row>
    <row r="172" spans="1:34" customHeight="1" ht="42">
      <c r="A172" s="19">
        <v>164</v>
      </c>
      <c r="B172" s="19" t="s">
        <v>976</v>
      </c>
      <c r="C172" s="19" t="s">
        <v>586</v>
      </c>
      <c r="D172" s="19" t="str">
        <f>HYPERLINK("http://henontech.com/fieldsafety/harzard/harzard_show.php?rid=3558&amp;url=harzardrecs.php","煤九外部护栏开焊，清理平台卫生，开焊的护栏拌倒操作工")</f>
        <v>煤九外部护栏开焊，清理平台卫生，开焊的护栏拌倒操作工</v>
      </c>
      <c r="E172" s="19" t="s">
        <v>105</v>
      </c>
      <c r="F172" s="20" t="s">
        <v>42</v>
      </c>
      <c r="G172" s="22" t="s">
        <v>64</v>
      </c>
      <c r="H172" s="19" t="s">
        <v>998</v>
      </c>
      <c r="I172" s="19" t="s">
        <v>97</v>
      </c>
      <c r="J172" s="19" t="s">
        <v>182</v>
      </c>
      <c r="K172" s="19" t="s">
        <v>170</v>
      </c>
      <c r="L172" s="19" t="s">
        <v>99</v>
      </c>
      <c r="M172" s="19" t="s">
        <v>565</v>
      </c>
      <c r="N172" s="19" t="s">
        <v>999</v>
      </c>
      <c r="O172" s="19" t="s">
        <v>565</v>
      </c>
      <c r="P172" s="19" t="s">
        <v>633</v>
      </c>
      <c r="Q172" s="19" t="s">
        <v>965</v>
      </c>
      <c r="R172" s="19" t="s">
        <v>1000</v>
      </c>
      <c r="S172" s="19"/>
      <c r="T172" s="19" t="s">
        <v>52</v>
      </c>
      <c r="U172" s="19" t="s">
        <v>70</v>
      </c>
      <c r="V172" s="19" t="s">
        <v>80</v>
      </c>
      <c r="W172" s="19" t="s">
        <v>55</v>
      </c>
      <c r="X172" s="19" t="s">
        <v>323</v>
      </c>
      <c r="Y172" s="19" t="s">
        <v>323</v>
      </c>
      <c r="Z172" s="19" t="s">
        <v>1001</v>
      </c>
      <c r="AA172" s="19">
        <v>2</v>
      </c>
      <c r="AB172" s="19">
        <v>2</v>
      </c>
      <c r="AC172" s="19" t="s">
        <v>58</v>
      </c>
      <c r="AD172" s="19" t="s">
        <v>633</v>
      </c>
      <c r="AE172" s="19" t="s">
        <v>1002</v>
      </c>
      <c r="AF172" s="19"/>
    </row>
    <row r="173" spans="1:34">
      <c r="A173" s="19">
        <v>165</v>
      </c>
      <c r="B173" s="19" t="s">
        <v>868</v>
      </c>
      <c r="C173" s="19" t="s">
        <v>909</v>
      </c>
      <c r="D173" s="19" t="str">
        <f>HYPERLINK("http://henontech.com/fieldsafety/harzard/harzard_show.php?rid=3560&amp;url=harzardrecs.php","炉体护栏开焊，一名巡检工不慎掉至下方管线，手臂骨折")</f>
        <v>炉体护栏开焊，一名巡检工不慎掉至下方管线，手臂骨折</v>
      </c>
      <c r="E173" s="19" t="s">
        <v>1003</v>
      </c>
      <c r="F173" s="20" t="s">
        <v>42</v>
      </c>
      <c r="G173" s="22" t="s">
        <v>64</v>
      </c>
      <c r="H173" s="19" t="s">
        <v>44</v>
      </c>
      <c r="I173" s="19" t="s">
        <v>119</v>
      </c>
      <c r="J173" s="19" t="s">
        <v>182</v>
      </c>
      <c r="K173" s="19" t="s">
        <v>108</v>
      </c>
      <c r="L173" s="19"/>
      <c r="M173" s="19" t="s">
        <v>663</v>
      </c>
      <c r="N173" s="19" t="s">
        <v>1004</v>
      </c>
      <c r="O173" s="19" t="s">
        <v>663</v>
      </c>
      <c r="P173" s="19" t="s">
        <v>664</v>
      </c>
      <c r="Q173" s="19" t="s">
        <v>860</v>
      </c>
      <c r="R173" s="19" t="s">
        <v>1005</v>
      </c>
      <c r="S173" s="19"/>
      <c r="T173" s="19" t="s">
        <v>52</v>
      </c>
      <c r="U173" s="19" t="s">
        <v>89</v>
      </c>
      <c r="V173" s="19" t="s">
        <v>54</v>
      </c>
      <c r="W173" s="19" t="s">
        <v>72</v>
      </c>
      <c r="X173" s="19"/>
      <c r="Y173" s="19"/>
      <c r="Z173" s="19" t="s">
        <v>1006</v>
      </c>
      <c r="AA173" s="19">
        <v>1</v>
      </c>
      <c r="AB173" s="19">
        <v>1</v>
      </c>
      <c r="AC173" s="19" t="s">
        <v>58</v>
      </c>
      <c r="AD173" s="19" t="s">
        <v>664</v>
      </c>
      <c r="AE173" s="19" t="s">
        <v>932</v>
      </c>
      <c r="AF173" s="19"/>
    </row>
    <row r="174" spans="1:34" customHeight="1" ht="42">
      <c r="A174" s="19">
        <v>166</v>
      </c>
      <c r="B174" s="19" t="s">
        <v>868</v>
      </c>
      <c r="C174" s="19" t="s">
        <v>1007</v>
      </c>
      <c r="D174" s="19" t="str">
        <f>HYPERLINK("http://henontech.com/fieldsafety/harzard/harzard_show.php?rid=3561&amp;url=harzardrecs.php","因铺设于地下的排水管道腐蚀泄露，挖开地面进行更换，在施工过程中因防范措施不到位，一名员工经过旁边时，被碎石绊倒跌落坑中，送医院检查：左脚脚踝骨折，住院治疗10天，在家休养2个月，损工71天。")</f>
        <v>因铺设于地下的排水管道腐蚀泄露，挖开地面进行更换，在施工过程中因防范措施不到位，一名员工经过旁边时，被碎石绊倒跌落坑中，送医院检查：左脚脚踝骨折，住院治疗10天，在家休养2个月，损工71天。</v>
      </c>
      <c r="E174" s="19" t="s">
        <v>1008</v>
      </c>
      <c r="F174" s="20" t="s">
        <v>42</v>
      </c>
      <c r="G174" s="22" t="s">
        <v>64</v>
      </c>
      <c r="H174" s="19" t="s">
        <v>44</v>
      </c>
      <c r="I174" s="19" t="s">
        <v>119</v>
      </c>
      <c r="J174" s="19"/>
      <c r="K174" s="19" t="s">
        <v>108</v>
      </c>
      <c r="L174" s="19"/>
      <c r="M174" s="19" t="s">
        <v>232</v>
      </c>
      <c r="N174" s="19" t="s">
        <v>1009</v>
      </c>
      <c r="O174" s="19" t="s">
        <v>232</v>
      </c>
      <c r="P174" s="19" t="s">
        <v>234</v>
      </c>
      <c r="Q174" s="19" t="s">
        <v>860</v>
      </c>
      <c r="R174" s="19" t="s">
        <v>1010</v>
      </c>
      <c r="S174" s="19"/>
      <c r="T174" s="19" t="s">
        <v>52</v>
      </c>
      <c r="U174" s="19" t="s">
        <v>89</v>
      </c>
      <c r="V174" s="19" t="s">
        <v>71</v>
      </c>
      <c r="W174" s="19" t="s">
        <v>55</v>
      </c>
      <c r="X174" s="19" t="s">
        <v>73</v>
      </c>
      <c r="Y174" s="19" t="s">
        <v>73</v>
      </c>
      <c r="Z174" s="19" t="s">
        <v>1011</v>
      </c>
      <c r="AA174" s="19">
        <v>2</v>
      </c>
      <c r="AB174" s="19">
        <v>2</v>
      </c>
      <c r="AC174" s="19" t="s">
        <v>58</v>
      </c>
      <c r="AD174" s="19" t="s">
        <v>234</v>
      </c>
      <c r="AE174" s="19" t="s">
        <v>1012</v>
      </c>
      <c r="AF174" s="19"/>
    </row>
    <row r="175" spans="1:34">
      <c r="A175" s="19">
        <v>167</v>
      </c>
      <c r="B175" s="19" t="s">
        <v>868</v>
      </c>
      <c r="C175" s="19" t="s">
        <v>803</v>
      </c>
      <c r="D175" s="19" t="str">
        <f>HYPERLINK("http://henontech.com/fieldsafety/harzard/harzard_show.php?rid=3562&amp;url=harzardrecs.php","预冷塔东侧消防箱因箱底腐烂，导致灭火器掉落，两个灭火器底座损坏！损失200元！")</f>
        <v>预冷塔东侧消防箱因箱底腐烂，导致灭火器掉落，两个灭火器底座损坏！损失200元！</v>
      </c>
      <c r="E175" s="19" t="s">
        <v>1013</v>
      </c>
      <c r="F175" s="25" t="s">
        <v>828</v>
      </c>
      <c r="G175" s="22" t="s">
        <v>64</v>
      </c>
      <c r="H175" s="19" t="s">
        <v>44</v>
      </c>
      <c r="I175" s="19" t="s">
        <v>97</v>
      </c>
      <c r="J175" s="19" t="s">
        <v>45</v>
      </c>
      <c r="K175" s="19" t="s">
        <v>108</v>
      </c>
      <c r="L175" s="19" t="s">
        <v>99</v>
      </c>
      <c r="M175" s="19" t="s">
        <v>334</v>
      </c>
      <c r="N175" s="19" t="s">
        <v>777</v>
      </c>
      <c r="O175" s="19" t="s">
        <v>334</v>
      </c>
      <c r="P175" s="19" t="s">
        <v>346</v>
      </c>
      <c r="Q175" s="19" t="s">
        <v>978</v>
      </c>
      <c r="R175" s="19" t="s">
        <v>1014</v>
      </c>
      <c r="S175" s="19"/>
      <c r="T175" s="19" t="s">
        <v>78</v>
      </c>
      <c r="U175" s="19" t="s">
        <v>79</v>
      </c>
      <c r="V175" s="19" t="s">
        <v>54</v>
      </c>
      <c r="W175" s="19" t="s">
        <v>81</v>
      </c>
      <c r="X175" s="19"/>
      <c r="Y175" s="19"/>
      <c r="Z175" s="19" t="s">
        <v>1015</v>
      </c>
      <c r="AA175" s="19">
        <v>1</v>
      </c>
      <c r="AB175" s="19"/>
      <c r="AC175" s="19" t="s">
        <v>103</v>
      </c>
      <c r="AD175" s="19"/>
      <c r="AE175" s="19"/>
      <c r="AF175" s="19"/>
    </row>
    <row r="176" spans="1:34">
      <c r="A176" s="19">
        <v>168</v>
      </c>
      <c r="B176" s="19" t="s">
        <v>868</v>
      </c>
      <c r="C176" s="19" t="s">
        <v>578</v>
      </c>
      <c r="D176" s="19" t="str">
        <f>HYPERLINK("http://henontech.com/fieldsafety/harzard/harzard_show.php?rid=3563&amp;url=harzardrecs.php","岗位钢钎使用完后违规放置在卸料车上方，操作工再次登车作业时，前额不慎撞上钢钎，造成皮肤划伤，送医敷药包扎后回岗位继续工作。")</f>
        <v>岗位钢钎使用完后违规放置在卸料车上方，操作工再次登车作业时，前额不慎撞上钢钎，造成皮肤划伤，送医敷药包扎后回岗位继续工作。</v>
      </c>
      <c r="E176" s="19" t="s">
        <v>1016</v>
      </c>
      <c r="F176" s="20" t="s">
        <v>42</v>
      </c>
      <c r="G176" s="21" t="s">
        <v>43</v>
      </c>
      <c r="H176" s="19" t="s">
        <v>44</v>
      </c>
      <c r="I176" s="19" t="s">
        <v>106</v>
      </c>
      <c r="J176" s="19" t="s">
        <v>527</v>
      </c>
      <c r="K176" s="19" t="s">
        <v>170</v>
      </c>
      <c r="L176" s="19" t="s">
        <v>252</v>
      </c>
      <c r="M176" s="19" t="s">
        <v>565</v>
      </c>
      <c r="N176" s="19" t="s">
        <v>1017</v>
      </c>
      <c r="O176" s="19" t="s">
        <v>565</v>
      </c>
      <c r="P176" s="19" t="s">
        <v>627</v>
      </c>
      <c r="Q176" s="19" t="s">
        <v>1002</v>
      </c>
      <c r="R176" s="19" t="s">
        <v>1018</v>
      </c>
      <c r="S176" s="19"/>
      <c r="T176" s="19" t="s">
        <v>52</v>
      </c>
      <c r="U176" s="19" t="s">
        <v>70</v>
      </c>
      <c r="V176" s="19" t="s">
        <v>71</v>
      </c>
      <c r="W176" s="19" t="s">
        <v>72</v>
      </c>
      <c r="X176" s="19"/>
      <c r="Y176" s="19"/>
      <c r="Z176" s="19" t="s">
        <v>1019</v>
      </c>
      <c r="AA176" s="19">
        <v>1</v>
      </c>
      <c r="AB176" s="19">
        <v>1</v>
      </c>
      <c r="AC176" s="19" t="s">
        <v>58</v>
      </c>
      <c r="AD176" s="19" t="s">
        <v>627</v>
      </c>
      <c r="AE176" s="19" t="s">
        <v>1020</v>
      </c>
      <c r="AF176" s="19"/>
    </row>
    <row r="177" spans="1:34">
      <c r="A177" s="19">
        <v>169</v>
      </c>
      <c r="B177" s="19" t="s">
        <v>1002</v>
      </c>
      <c r="C177" s="19" t="s">
        <v>578</v>
      </c>
      <c r="D177" s="19" t="str">
        <f>HYPERLINK("http://henontech.com/fieldsafety/harzard/harzard_show.php?rid=3564&amp;url=harzardrecs.php","西四4#配料带偏带运行，容易造成物料掉落偏带磨损撕裂。")</f>
        <v>西四4#配料带偏带运行，容易造成物料掉落偏带磨损撕裂。</v>
      </c>
      <c r="E177" s="19" t="s">
        <v>1021</v>
      </c>
      <c r="F177" s="20" t="s">
        <v>42</v>
      </c>
      <c r="G177" s="21" t="s">
        <v>43</v>
      </c>
      <c r="H177" s="19" t="s">
        <v>44</v>
      </c>
      <c r="I177" s="19"/>
      <c r="J177" s="19" t="s">
        <v>45</v>
      </c>
      <c r="K177" s="19"/>
      <c r="L177" s="19"/>
      <c r="M177" s="19" t="s">
        <v>565</v>
      </c>
      <c r="N177" s="19" t="s">
        <v>1022</v>
      </c>
      <c r="O177" s="19" t="s">
        <v>565</v>
      </c>
      <c r="P177" s="19" t="s">
        <v>627</v>
      </c>
      <c r="Q177" s="19" t="s">
        <v>1012</v>
      </c>
      <c r="R177" s="19" t="s">
        <v>1023</v>
      </c>
      <c r="S177" s="19"/>
      <c r="T177" s="19" t="s">
        <v>78</v>
      </c>
      <c r="U177" s="19" t="s">
        <v>79</v>
      </c>
      <c r="V177" s="19" t="s">
        <v>71</v>
      </c>
      <c r="W177" s="19" t="s">
        <v>81</v>
      </c>
      <c r="X177" s="19"/>
      <c r="Y177" s="19"/>
      <c r="Z177" s="19" t="s">
        <v>1024</v>
      </c>
      <c r="AA177" s="19">
        <v>1</v>
      </c>
      <c r="AB177" s="19">
        <v>1</v>
      </c>
      <c r="AC177" s="19" t="s">
        <v>58</v>
      </c>
      <c r="AD177" s="19" t="s">
        <v>627</v>
      </c>
      <c r="AE177" s="19" t="s">
        <v>1012</v>
      </c>
      <c r="AF177" s="19"/>
    </row>
    <row r="178" spans="1:34">
      <c r="A178" s="19">
        <v>170</v>
      </c>
      <c r="B178" s="19" t="s">
        <v>1002</v>
      </c>
      <c r="C178" s="19" t="s">
        <v>1025</v>
      </c>
      <c r="D178" s="19" t="str">
        <f>HYPERLINK("http://henontech.com/fieldsafety/harzard/harzard_show.php?rid=3566&amp;url=harzardrecs.php","配电室楼顶接地极脱落，起不到避雷作用，易造成设备损坏")</f>
        <v>配电室楼顶接地极脱落，起不到避雷作用，易造成设备损坏</v>
      </c>
      <c r="E178" s="19" t="s">
        <v>1026</v>
      </c>
      <c r="F178" s="26" t="s">
        <v>1027</v>
      </c>
      <c r="G178" s="19"/>
      <c r="H178" s="19" t="s">
        <v>44</v>
      </c>
      <c r="I178" s="19" t="s">
        <v>106</v>
      </c>
      <c r="J178" s="19" t="s">
        <v>45</v>
      </c>
      <c r="K178" s="19" t="s">
        <v>108</v>
      </c>
      <c r="L178" s="19" t="s">
        <v>99</v>
      </c>
      <c r="M178" s="19" t="s">
        <v>663</v>
      </c>
      <c r="N178" s="19" t="s">
        <v>1028</v>
      </c>
      <c r="O178" s="19"/>
      <c r="P178" s="19"/>
      <c r="Q178" s="19"/>
      <c r="R178" s="19" t="s">
        <v>1029</v>
      </c>
      <c r="S178" s="19"/>
      <c r="T178" s="19" t="s">
        <v>78</v>
      </c>
      <c r="U178" s="19" t="s">
        <v>79</v>
      </c>
      <c r="V178" s="19" t="s">
        <v>54</v>
      </c>
      <c r="W178" s="19" t="s">
        <v>81</v>
      </c>
      <c r="X178" s="19"/>
      <c r="Y178" s="19"/>
      <c r="Z178" s="19"/>
      <c r="AA178" s="19"/>
      <c r="AB178" s="19"/>
      <c r="AC178" s="19" t="s">
        <v>103</v>
      </c>
      <c r="AD178" s="19"/>
      <c r="AE178" s="19"/>
      <c r="AF178" s="19"/>
    </row>
    <row r="179" spans="1:34" customHeight="1" ht="42">
      <c r="A179" s="19">
        <v>171</v>
      </c>
      <c r="B179" s="19" t="s">
        <v>1002</v>
      </c>
      <c r="C179" s="19" t="s">
        <v>1030</v>
      </c>
      <c r="D179" s="19" t="str">
        <f>HYPERLINK("http://henontech.com/fieldsafety/harzard/harzard_show.php?rid=3567&amp;url=harzardrecs.php","35kv控制室楼顶接地极脱落，起不到避雷作用，有可能造成设备损坏，影响生产")</f>
        <v>35kv控制室楼顶接地极脱落，起不到避雷作用，有可能造成设备损坏，影响生产</v>
      </c>
      <c r="E179" s="19" t="s">
        <v>1031</v>
      </c>
      <c r="F179" s="20" t="s">
        <v>42</v>
      </c>
      <c r="G179" s="22" t="s">
        <v>64</v>
      </c>
      <c r="H179" s="19" t="s">
        <v>44</v>
      </c>
      <c r="I179" s="19" t="s">
        <v>97</v>
      </c>
      <c r="J179" s="19" t="s">
        <v>45</v>
      </c>
      <c r="K179" s="19" t="s">
        <v>108</v>
      </c>
      <c r="L179" s="19" t="s">
        <v>99</v>
      </c>
      <c r="M179" s="19" t="s">
        <v>663</v>
      </c>
      <c r="N179" s="19" t="s">
        <v>1032</v>
      </c>
      <c r="O179" s="19" t="s">
        <v>663</v>
      </c>
      <c r="P179" s="19" t="s">
        <v>664</v>
      </c>
      <c r="Q179" s="19" t="s">
        <v>926</v>
      </c>
      <c r="R179" s="19" t="s">
        <v>1033</v>
      </c>
      <c r="S179" s="19"/>
      <c r="T179" s="19" t="s">
        <v>78</v>
      </c>
      <c r="U179" s="19" t="s">
        <v>79</v>
      </c>
      <c r="V179" s="19" t="s">
        <v>71</v>
      </c>
      <c r="W179" s="19" t="s">
        <v>81</v>
      </c>
      <c r="X179" s="19" t="s">
        <v>73</v>
      </c>
      <c r="Y179" s="19"/>
      <c r="Z179" s="19" t="s">
        <v>1034</v>
      </c>
      <c r="AA179" s="19">
        <v>2</v>
      </c>
      <c r="AB179" s="19">
        <v>2</v>
      </c>
      <c r="AC179" s="19" t="s">
        <v>58</v>
      </c>
      <c r="AD179" s="19" t="s">
        <v>664</v>
      </c>
      <c r="AE179" s="19" t="s">
        <v>932</v>
      </c>
      <c r="AF179" s="19"/>
    </row>
    <row r="180" spans="1:34" customHeight="1" ht="42">
      <c r="A180" s="19">
        <v>172</v>
      </c>
      <c r="B180" s="19" t="s">
        <v>1002</v>
      </c>
      <c r="C180" s="19" t="s">
        <v>563</v>
      </c>
      <c r="D180" s="19" t="str">
        <f>HYPERLINK("http://henontech.com/fieldsafety/harzard/harzard_show.php?rid=3568&amp;url=harzardrecs.php","东一西侧水沟盖板缺失一操作人员巡检时右脚掉入水沟扭伤送医救治，诊断为右脚脚骨骨折，住院7天在家休养100天康复，造成一人损工事故。")</f>
        <v>东一西侧水沟盖板缺失一操作人员巡检时右脚掉入水沟扭伤送医救治，诊断为右脚脚骨骨折，住院7天在家休养100天康复，造成一人损工事故。</v>
      </c>
      <c r="E180" s="19" t="s">
        <v>1035</v>
      </c>
      <c r="F180" s="20" t="s">
        <v>42</v>
      </c>
      <c r="G180" s="22" t="s">
        <v>64</v>
      </c>
      <c r="H180" s="19" t="s">
        <v>44</v>
      </c>
      <c r="I180" s="19" t="s">
        <v>97</v>
      </c>
      <c r="J180" s="19" t="s">
        <v>182</v>
      </c>
      <c r="K180" s="19" t="s">
        <v>108</v>
      </c>
      <c r="L180" s="19" t="s">
        <v>99</v>
      </c>
      <c r="M180" s="19" t="s">
        <v>565</v>
      </c>
      <c r="N180" s="19" t="s">
        <v>1036</v>
      </c>
      <c r="O180" s="19" t="s">
        <v>565</v>
      </c>
      <c r="P180" s="19" t="s">
        <v>633</v>
      </c>
      <c r="Q180" s="19" t="s">
        <v>965</v>
      </c>
      <c r="R180" s="19" t="s">
        <v>1037</v>
      </c>
      <c r="S180" s="19"/>
      <c r="T180" s="19" t="s">
        <v>52</v>
      </c>
      <c r="U180" s="19" t="s">
        <v>89</v>
      </c>
      <c r="V180" s="19" t="s">
        <v>71</v>
      </c>
      <c r="W180" s="19" t="s">
        <v>55</v>
      </c>
      <c r="X180" s="19" t="s">
        <v>323</v>
      </c>
      <c r="Y180" s="19" t="s">
        <v>323</v>
      </c>
      <c r="Z180" s="19" t="s">
        <v>1038</v>
      </c>
      <c r="AA180" s="19">
        <v>2</v>
      </c>
      <c r="AB180" s="19">
        <v>2</v>
      </c>
      <c r="AC180" s="19" t="s">
        <v>58</v>
      </c>
      <c r="AD180" s="19" t="s">
        <v>633</v>
      </c>
      <c r="AE180" s="19" t="s">
        <v>746</v>
      </c>
      <c r="AF180" s="19"/>
    </row>
    <row r="181" spans="1:34">
      <c r="A181" s="19">
        <v>173</v>
      </c>
      <c r="B181" s="19" t="s">
        <v>1039</v>
      </c>
      <c r="C181" s="19" t="s">
        <v>789</v>
      </c>
      <c r="D181" s="19" t="str">
        <f>HYPERLINK("http://henontech.com/fieldsafety/harzard/harzard_show.php?rid=3569&amp;url=harzardrecs.php","污水处理车间深度处理加药间配电箱内线路老化，接线头处氧化部分断裂，一旦接线头处氧化断裂，造成深度处理装置停车。")</f>
        <v>污水处理车间深度处理加药间配电箱内线路老化，接线头处氧化部分断裂，一旦接线头处氧化断裂，造成深度处理装置停车。</v>
      </c>
      <c r="E181" s="19" t="s">
        <v>1040</v>
      </c>
      <c r="F181" s="20" t="s">
        <v>42</v>
      </c>
      <c r="G181" s="22" t="s">
        <v>64</v>
      </c>
      <c r="H181" s="19" t="s">
        <v>44</v>
      </c>
      <c r="I181" s="19"/>
      <c r="J181" s="19" t="s">
        <v>231</v>
      </c>
      <c r="K181" s="19"/>
      <c r="L181" s="19"/>
      <c r="M181" s="19" t="s">
        <v>232</v>
      </c>
      <c r="N181" s="19" t="s">
        <v>387</v>
      </c>
      <c r="O181" s="19" t="s">
        <v>232</v>
      </c>
      <c r="P181" s="19" t="s">
        <v>234</v>
      </c>
      <c r="Q181" s="19" t="s">
        <v>860</v>
      </c>
      <c r="R181" s="19" t="s">
        <v>921</v>
      </c>
      <c r="S181" s="19"/>
      <c r="T181" s="19" t="s">
        <v>78</v>
      </c>
      <c r="U181" s="19" t="s">
        <v>89</v>
      </c>
      <c r="V181" s="19" t="s">
        <v>80</v>
      </c>
      <c r="W181" s="19" t="s">
        <v>116</v>
      </c>
      <c r="X181" s="19" t="s">
        <v>73</v>
      </c>
      <c r="Y181" s="19" t="s">
        <v>73</v>
      </c>
      <c r="Z181" s="19" t="s">
        <v>1041</v>
      </c>
      <c r="AA181" s="19">
        <v>1</v>
      </c>
      <c r="AB181" s="19">
        <v>1</v>
      </c>
      <c r="AC181" s="19" t="s">
        <v>58</v>
      </c>
      <c r="AD181" s="19" t="s">
        <v>234</v>
      </c>
      <c r="AE181" s="19" t="s">
        <v>773</v>
      </c>
      <c r="AF181" s="19"/>
    </row>
    <row r="182" spans="1:34">
      <c r="A182" s="19">
        <v>174</v>
      </c>
      <c r="B182" s="19" t="s">
        <v>1039</v>
      </c>
      <c r="C182" s="19" t="s">
        <v>1042</v>
      </c>
      <c r="D182" s="19" t="str">
        <f>HYPERLINK("http://henontech.com/fieldsafety/harzard/harzard_show.php?rid=3571&amp;url=harzardrecs.php","南冷凝泵房高压氨水泵进口管道有砂眼，导致高温氨水泄露，烫伤冷凝操作工脸部，送医治疗五天后复工。")</f>
        <v>南冷凝泵房高压氨水泵进口管道有砂眼，导致高温氨水泄露，烫伤冷凝操作工脸部，送医治疗五天后复工。</v>
      </c>
      <c r="E182" s="19" t="s">
        <v>1043</v>
      </c>
      <c r="F182" s="20" t="s">
        <v>42</v>
      </c>
      <c r="G182" s="22" t="s">
        <v>64</v>
      </c>
      <c r="H182" s="19" t="s">
        <v>44</v>
      </c>
      <c r="I182" s="19" t="s">
        <v>119</v>
      </c>
      <c r="J182" s="19" t="s">
        <v>45</v>
      </c>
      <c r="K182" s="19" t="s">
        <v>170</v>
      </c>
      <c r="L182" s="19" t="s">
        <v>99</v>
      </c>
      <c r="M182" s="19" t="s">
        <v>334</v>
      </c>
      <c r="N182" s="19" t="s">
        <v>1044</v>
      </c>
      <c r="O182" s="19" t="s">
        <v>334</v>
      </c>
      <c r="P182" s="19" t="s">
        <v>346</v>
      </c>
      <c r="Q182" s="19" t="s">
        <v>978</v>
      </c>
      <c r="R182" s="19" t="s">
        <v>1045</v>
      </c>
      <c r="S182" s="19"/>
      <c r="T182" s="19" t="s">
        <v>52</v>
      </c>
      <c r="U182" s="19" t="s">
        <v>89</v>
      </c>
      <c r="V182" s="19" t="s">
        <v>71</v>
      </c>
      <c r="W182" s="19" t="s">
        <v>55</v>
      </c>
      <c r="X182" s="19"/>
      <c r="Y182" s="19"/>
      <c r="Z182" s="19" t="s">
        <v>1046</v>
      </c>
      <c r="AA182" s="19">
        <v>1</v>
      </c>
      <c r="AB182" s="19">
        <v>1</v>
      </c>
      <c r="AC182" s="19" t="s">
        <v>58</v>
      </c>
      <c r="AD182" s="19" t="s">
        <v>346</v>
      </c>
      <c r="AE182" s="19" t="s">
        <v>746</v>
      </c>
      <c r="AF182" s="19"/>
    </row>
    <row r="183" spans="1:34">
      <c r="A183" s="19">
        <v>175</v>
      </c>
      <c r="B183" s="19" t="s">
        <v>1039</v>
      </c>
      <c r="C183" s="19" t="s">
        <v>578</v>
      </c>
      <c r="D183" s="19" t="str">
        <f>HYPERLINK("http://henontech.com/fieldsafety/harzard/harzard_show.php?rid=3572&amp;url=harzardrecs.php","一名操作工清理受煤斗的积煤时，被地面上露出的钢筋绊倒，造成右小腿受伤，送医敷药包扎，回家休养五天复工。")</f>
        <v>一名操作工清理受煤斗的积煤时，被地面上露出的钢筋绊倒，造成右小腿受伤，送医敷药包扎，回家休养五天复工。</v>
      </c>
      <c r="E183" s="19" t="s">
        <v>1047</v>
      </c>
      <c r="F183" s="20" t="s">
        <v>42</v>
      </c>
      <c r="G183" s="22" t="s">
        <v>64</v>
      </c>
      <c r="H183" s="19" t="s">
        <v>44</v>
      </c>
      <c r="I183" s="19" t="s">
        <v>119</v>
      </c>
      <c r="J183" s="19" t="s">
        <v>527</v>
      </c>
      <c r="K183" s="19" t="s">
        <v>170</v>
      </c>
      <c r="L183" s="19" t="s">
        <v>99</v>
      </c>
      <c r="M183" s="19" t="s">
        <v>565</v>
      </c>
      <c r="N183" s="19" t="s">
        <v>677</v>
      </c>
      <c r="O183" s="19" t="s">
        <v>565</v>
      </c>
      <c r="P183" s="19" t="s">
        <v>627</v>
      </c>
      <c r="Q183" s="19" t="s">
        <v>761</v>
      </c>
      <c r="R183" s="19" t="s">
        <v>1048</v>
      </c>
      <c r="S183" s="19"/>
      <c r="T183" s="19" t="s">
        <v>52</v>
      </c>
      <c r="U183" s="19" t="s">
        <v>89</v>
      </c>
      <c r="V183" s="19" t="s">
        <v>71</v>
      </c>
      <c r="W183" s="19" t="s">
        <v>55</v>
      </c>
      <c r="X183" s="19"/>
      <c r="Y183" s="19"/>
      <c r="Z183" s="19" t="s">
        <v>1049</v>
      </c>
      <c r="AA183" s="19">
        <v>1</v>
      </c>
      <c r="AB183" s="19">
        <v>1</v>
      </c>
      <c r="AC183" s="19" t="s">
        <v>58</v>
      </c>
      <c r="AD183" s="19" t="s">
        <v>627</v>
      </c>
      <c r="AE183" s="19" t="s">
        <v>807</v>
      </c>
      <c r="AF183" s="19"/>
    </row>
    <row r="184" spans="1:34" customHeight="1" ht="42">
      <c r="A184" s="19">
        <v>176</v>
      </c>
      <c r="B184" s="19" t="s">
        <v>1039</v>
      </c>
      <c r="C184" s="19" t="s">
        <v>1050</v>
      </c>
      <c r="D184" s="19" t="str">
        <f>HYPERLINK("http://henontech.com/fieldsafety/harzard/harzard_show.php?rid=3573&amp;url=harzardrecs.php","一筛焦楼操作工在查看焦仓料位时，脚站在焦仓盖板上，因盖板年久腐烂变型，不慎将盖板踩翻坠入焦仓，发现后紧急救出送医")</f>
        <v>一筛焦楼操作工在查看焦仓料位时，脚站在焦仓盖板上，因盖板年久腐烂变型，不慎将盖板踩翻坠入焦仓，发现后紧急救出送医</v>
      </c>
      <c r="E184" s="19" t="s">
        <v>1051</v>
      </c>
      <c r="F184" s="25" t="s">
        <v>828</v>
      </c>
      <c r="G184" s="22" t="s">
        <v>64</v>
      </c>
      <c r="H184" s="19" t="s">
        <v>44</v>
      </c>
      <c r="I184" s="19" t="s">
        <v>106</v>
      </c>
      <c r="J184" s="19" t="s">
        <v>182</v>
      </c>
      <c r="K184" s="19" t="s">
        <v>170</v>
      </c>
      <c r="L184" s="19" t="s">
        <v>99</v>
      </c>
      <c r="M184" s="19" t="s">
        <v>46</v>
      </c>
      <c r="N184" s="19" t="s">
        <v>1052</v>
      </c>
      <c r="O184" s="19" t="s">
        <v>46</v>
      </c>
      <c r="P184" s="19" t="s">
        <v>100</v>
      </c>
      <c r="Q184" s="19" t="s">
        <v>830</v>
      </c>
      <c r="R184" s="19" t="s">
        <v>1053</v>
      </c>
      <c r="S184" s="19"/>
      <c r="T184" s="19" t="s">
        <v>52</v>
      </c>
      <c r="U184" s="19" t="s">
        <v>53</v>
      </c>
      <c r="V184" s="19" t="s">
        <v>71</v>
      </c>
      <c r="W184" s="19" t="s">
        <v>116</v>
      </c>
      <c r="X184" s="19" t="s">
        <v>90</v>
      </c>
      <c r="Y184" s="19"/>
      <c r="Z184" s="19" t="s">
        <v>1054</v>
      </c>
      <c r="AA184" s="19">
        <v>2</v>
      </c>
      <c r="AB184" s="19"/>
      <c r="AC184" s="19" t="s">
        <v>103</v>
      </c>
      <c r="AD184" s="19"/>
      <c r="AE184" s="19"/>
      <c r="AF184" s="19"/>
    </row>
    <row r="185" spans="1:34" customHeight="1" ht="42">
      <c r="A185" s="19">
        <v>177</v>
      </c>
      <c r="B185" s="19" t="s">
        <v>1039</v>
      </c>
      <c r="C185" s="19" t="s">
        <v>1055</v>
      </c>
      <c r="D185" s="19" t="str">
        <f>HYPERLINK("http://henontech.com/fieldsafety/harzard/harzard_show.php?rid=3574&amp;url=harzardrecs.php","维修工检修熄焦车斗，上下爬梯时由于爬梯变形没有扶手，手未抓牢，跌落至3米高的地面，腰部跌落在道轨上，及时送医治疗，确诊为腰椎3节骨折，住院治疗一个月，回家休养六个月复工")</f>
        <v>维修工检修熄焦车斗，上下爬梯时由于爬梯变形没有扶手，手未抓牢，跌落至3米高的地面，腰部跌落在道轨上，及时送医治疗，确诊为腰椎3节骨折，住院治疗一个月，回家休养六个月复工</v>
      </c>
      <c r="E185" s="19" t="s">
        <v>1056</v>
      </c>
      <c r="F185" s="25" t="s">
        <v>828</v>
      </c>
      <c r="G185" s="22" t="s">
        <v>64</v>
      </c>
      <c r="H185" s="19" t="s">
        <v>44</v>
      </c>
      <c r="I185" s="19" t="s">
        <v>97</v>
      </c>
      <c r="J185" s="19" t="s">
        <v>45</v>
      </c>
      <c r="K185" s="19" t="s">
        <v>216</v>
      </c>
      <c r="L185" s="19" t="s">
        <v>99</v>
      </c>
      <c r="M185" s="19" t="s">
        <v>46</v>
      </c>
      <c r="N185" s="19" t="s">
        <v>1057</v>
      </c>
      <c r="O185" s="19" t="s">
        <v>46</v>
      </c>
      <c r="P185" s="19" t="s">
        <v>219</v>
      </c>
      <c r="Q185" s="19" t="s">
        <v>830</v>
      </c>
      <c r="R185" s="19" t="s">
        <v>1058</v>
      </c>
      <c r="S185" s="19"/>
      <c r="T185" s="19" t="s">
        <v>52</v>
      </c>
      <c r="U185" s="19" t="s">
        <v>89</v>
      </c>
      <c r="V185" s="19" t="s">
        <v>71</v>
      </c>
      <c r="W185" s="19" t="s">
        <v>55</v>
      </c>
      <c r="X185" s="19" t="s">
        <v>90</v>
      </c>
      <c r="Y185" s="19"/>
      <c r="Z185" s="19" t="s">
        <v>1059</v>
      </c>
      <c r="AA185" s="19">
        <v>2</v>
      </c>
      <c r="AB185" s="19"/>
      <c r="AC185" s="19" t="s">
        <v>103</v>
      </c>
      <c r="AD185" s="19"/>
      <c r="AE185" s="19"/>
      <c r="AF185" s="19"/>
    </row>
    <row r="186" spans="1:34" customHeight="1" ht="42">
      <c r="A186" s="19">
        <v>178</v>
      </c>
      <c r="B186" s="19" t="s">
        <v>1039</v>
      </c>
      <c r="C186" s="19" t="s">
        <v>578</v>
      </c>
      <c r="D186" s="19" t="str">
        <f>HYPERLINK("http://henontech.com/fieldsafety/harzard/harzard_show.php?rid=3575&amp;url=harzardrecs.php","西四岗位一名员工在巡检时，发现2号配料称的配重铁缺一销子，一旦脱落会划伤皮带，容易造成设备隐患事故。")</f>
        <v>西四岗位一名员工在巡检时，发现2号配料称的配重铁缺一销子，一旦脱落会划伤皮带，容易造成设备隐患事故。</v>
      </c>
      <c r="E186" s="19" t="s">
        <v>1060</v>
      </c>
      <c r="F186" s="20" t="s">
        <v>42</v>
      </c>
      <c r="G186" s="21" t="s">
        <v>43</v>
      </c>
      <c r="H186" s="19" t="s">
        <v>632</v>
      </c>
      <c r="I186" s="19" t="s">
        <v>97</v>
      </c>
      <c r="J186" s="19" t="s">
        <v>45</v>
      </c>
      <c r="K186" s="19" t="s">
        <v>170</v>
      </c>
      <c r="L186" s="19" t="s">
        <v>99</v>
      </c>
      <c r="M186" s="19" t="s">
        <v>565</v>
      </c>
      <c r="N186" s="19" t="s">
        <v>1061</v>
      </c>
      <c r="O186" s="19" t="s">
        <v>565</v>
      </c>
      <c r="P186" s="19" t="s">
        <v>633</v>
      </c>
      <c r="Q186" s="19" t="s">
        <v>751</v>
      </c>
      <c r="R186" s="19" t="s">
        <v>1062</v>
      </c>
      <c r="S186" s="19"/>
      <c r="T186" s="19" t="s">
        <v>78</v>
      </c>
      <c r="U186" s="19" t="s">
        <v>79</v>
      </c>
      <c r="V186" s="19" t="s">
        <v>124</v>
      </c>
      <c r="W186" s="19" t="s">
        <v>81</v>
      </c>
      <c r="X186" s="19" t="s">
        <v>73</v>
      </c>
      <c r="Y186" s="19" t="s">
        <v>73</v>
      </c>
      <c r="Z186" s="19" t="s">
        <v>1063</v>
      </c>
      <c r="AA186" s="19">
        <v>2</v>
      </c>
      <c r="AB186" s="19">
        <v>2</v>
      </c>
      <c r="AC186" s="19" t="s">
        <v>58</v>
      </c>
      <c r="AD186" s="19" t="s">
        <v>633</v>
      </c>
      <c r="AE186" s="19" t="s">
        <v>797</v>
      </c>
      <c r="AF186" s="19"/>
    </row>
    <row r="187" spans="1:34" customHeight="1" ht="42">
      <c r="A187" s="19">
        <v>179</v>
      </c>
      <c r="B187" s="19" t="s">
        <v>1039</v>
      </c>
      <c r="C187" s="19" t="s">
        <v>1064</v>
      </c>
      <c r="D187" s="19" t="str">
        <f>HYPERLINK("http://henontech.com/fieldsafety/harzard/harzard_show.php?rid=3576&amp;url=harzardrecs.php","一人给转动的无防护罩的联轴器注油时，人员右胳臂衣袖过长不慎被联轴器卷入，越卷越紧，最后连同右胳臂一同卷入当场被挤碎，幸亏同伴及时发现停车将其送医，经手术后切除右臂，住院三个月后回家修养，失去工作能力。")</f>
        <v>一人给转动的无防护罩的联轴器注油时，人员右胳臂衣袖过长不慎被联轴器卷入，越卷越紧，最后连同右胳臂一同卷入当场被挤碎，幸亏同伴及时发现停车将其送医，经手术后切除右臂，住院三个月后回家修养，失去工作能力。</v>
      </c>
      <c r="E187" s="19" t="s">
        <v>1065</v>
      </c>
      <c r="F187" s="25" t="s">
        <v>828</v>
      </c>
      <c r="G187" s="22" t="s">
        <v>64</v>
      </c>
      <c r="H187" s="19" t="s">
        <v>44</v>
      </c>
      <c r="I187" s="19" t="s">
        <v>97</v>
      </c>
      <c r="J187" s="19" t="s">
        <v>45</v>
      </c>
      <c r="K187" s="19" t="s">
        <v>98</v>
      </c>
      <c r="L187" s="19" t="s">
        <v>252</v>
      </c>
      <c r="M187" s="19" t="s">
        <v>46</v>
      </c>
      <c r="N187" s="19" t="s">
        <v>1066</v>
      </c>
      <c r="O187" s="19" t="s">
        <v>46</v>
      </c>
      <c r="P187" s="19" t="s">
        <v>219</v>
      </c>
      <c r="Q187" s="19" t="s">
        <v>830</v>
      </c>
      <c r="R187" s="19" t="s">
        <v>1067</v>
      </c>
      <c r="S187" s="19"/>
      <c r="T187" s="19" t="s">
        <v>52</v>
      </c>
      <c r="U187" s="19" t="s">
        <v>89</v>
      </c>
      <c r="V187" s="19" t="s">
        <v>71</v>
      </c>
      <c r="W187" s="19" t="s">
        <v>55</v>
      </c>
      <c r="X187" s="19" t="s">
        <v>73</v>
      </c>
      <c r="Y187" s="19"/>
      <c r="Z187" s="19" t="s">
        <v>1068</v>
      </c>
      <c r="AA187" s="19">
        <v>2</v>
      </c>
      <c r="AB187" s="19"/>
      <c r="AC187" s="19" t="s">
        <v>103</v>
      </c>
      <c r="AD187" s="19"/>
      <c r="AE187" s="19"/>
      <c r="AF187" s="19"/>
    </row>
    <row r="188" spans="1:34" customHeight="1" ht="42">
      <c r="A188" s="19">
        <v>180</v>
      </c>
      <c r="B188" s="19" t="s">
        <v>1039</v>
      </c>
      <c r="C188" s="19" t="s">
        <v>1050</v>
      </c>
      <c r="D188" s="19" t="str">
        <f>HYPERLINK("http://henontech.com/fieldsafety/harzard/harzard_show.php?rid=3577&amp;url=harzardrecs.php","焦四后尾缺少护栏，操作工清理卫生，在清理过成中不慎被皮带滚筒卷入衣服，在拖拽时手臂被卷入造成伤害，送入医院被确诊手臂骨裂脱臼，住院治疗三个月，回家修养五个月。")</f>
        <v>焦四后尾缺少护栏，操作工清理卫生，在清理过成中不慎被皮带滚筒卷入衣服，在拖拽时手臂被卷入造成伤害，送入医院被确诊手臂骨裂脱臼，住院治疗三个月，回家修养五个月。</v>
      </c>
      <c r="E188" s="19" t="s">
        <v>1069</v>
      </c>
      <c r="F188" s="25" t="s">
        <v>828</v>
      </c>
      <c r="G188" s="22" t="s">
        <v>64</v>
      </c>
      <c r="H188" s="19" t="s">
        <v>44</v>
      </c>
      <c r="I188" s="19" t="s">
        <v>97</v>
      </c>
      <c r="J188" s="19" t="s">
        <v>45</v>
      </c>
      <c r="K188" s="19" t="s">
        <v>170</v>
      </c>
      <c r="L188" s="19" t="s">
        <v>99</v>
      </c>
      <c r="M188" s="19" t="s">
        <v>46</v>
      </c>
      <c r="N188" s="19" t="s">
        <v>1070</v>
      </c>
      <c r="O188" s="19" t="s">
        <v>46</v>
      </c>
      <c r="P188" s="19" t="s">
        <v>703</v>
      </c>
      <c r="Q188" s="19" t="s">
        <v>830</v>
      </c>
      <c r="R188" s="19" t="s">
        <v>1071</v>
      </c>
      <c r="S188" s="19" t="s">
        <v>1072</v>
      </c>
      <c r="T188" s="19" t="s">
        <v>52</v>
      </c>
      <c r="U188" s="19" t="s">
        <v>89</v>
      </c>
      <c r="V188" s="19" t="s">
        <v>71</v>
      </c>
      <c r="W188" s="19" t="s">
        <v>55</v>
      </c>
      <c r="X188" s="19" t="s">
        <v>90</v>
      </c>
      <c r="Y188" s="19"/>
      <c r="Z188" s="19" t="s">
        <v>1073</v>
      </c>
      <c r="AA188" s="19">
        <v>2</v>
      </c>
      <c r="AB188" s="19"/>
      <c r="AC188" s="19" t="s">
        <v>103</v>
      </c>
      <c r="AD188" s="19"/>
      <c r="AE188" s="19"/>
      <c r="AF188" s="19"/>
    </row>
    <row r="189" spans="1:34">
      <c r="A189" s="19">
        <v>181</v>
      </c>
      <c r="B189" s="19" t="s">
        <v>781</v>
      </c>
      <c r="C189" s="19" t="s">
        <v>491</v>
      </c>
      <c r="D189" s="19" t="str">
        <f>HYPERLINK("http://henontech.com/fieldsafety/harzard/harzard_show.php?rid=3578&amp;url=harzardrecs.php","初冷器二层平台地面有油污，如果一名操作工冲洗初冷器时，走到二层平台油污处，滑倒，膝盖与手部轻微磕伤，去医务室简单包扎，返工")</f>
        <v>初冷器二层平台地面有油污，如果一名操作工冲洗初冷器时，走到二层平台油污处，滑倒，膝盖与手部轻微磕伤，去医务室简单包扎，返工</v>
      </c>
      <c r="E189" s="19" t="s">
        <v>1074</v>
      </c>
      <c r="F189" s="20" t="s">
        <v>42</v>
      </c>
      <c r="G189" s="22" t="s">
        <v>64</v>
      </c>
      <c r="H189" s="19" t="s">
        <v>44</v>
      </c>
      <c r="I189" s="19" t="s">
        <v>106</v>
      </c>
      <c r="J189" s="19" t="s">
        <v>175</v>
      </c>
      <c r="K189" s="19" t="s">
        <v>108</v>
      </c>
      <c r="L189" s="19" t="s">
        <v>99</v>
      </c>
      <c r="M189" s="19" t="s">
        <v>334</v>
      </c>
      <c r="N189" s="19" t="s">
        <v>1075</v>
      </c>
      <c r="O189" s="19" t="s">
        <v>334</v>
      </c>
      <c r="P189" s="19" t="s">
        <v>346</v>
      </c>
      <c r="Q189" s="19" t="s">
        <v>978</v>
      </c>
      <c r="R189" s="19" t="s">
        <v>1076</v>
      </c>
      <c r="S189" s="19"/>
      <c r="T189" s="19" t="s">
        <v>52</v>
      </c>
      <c r="U189" s="19" t="s">
        <v>70</v>
      </c>
      <c r="V189" s="19" t="s">
        <v>71</v>
      </c>
      <c r="W189" s="19" t="s">
        <v>72</v>
      </c>
      <c r="X189" s="19"/>
      <c r="Y189" s="19"/>
      <c r="Z189" s="19" t="s">
        <v>1077</v>
      </c>
      <c r="AA189" s="19">
        <v>1</v>
      </c>
      <c r="AB189" s="19">
        <v>1</v>
      </c>
      <c r="AC189" s="19" t="s">
        <v>58</v>
      </c>
      <c r="AD189" s="19" t="s">
        <v>346</v>
      </c>
      <c r="AE189" s="19" t="s">
        <v>746</v>
      </c>
      <c r="AF189" s="19"/>
    </row>
    <row r="190" spans="1:34">
      <c r="A190" s="19">
        <v>182</v>
      </c>
      <c r="B190" s="19" t="s">
        <v>781</v>
      </c>
      <c r="C190" s="19" t="s">
        <v>1078</v>
      </c>
      <c r="D190" s="19" t="str">
        <f>HYPERLINK("http://henontech.com/fieldsafety/harzard/harzard_show.php?rid=3579&amp;url=harzardrecs.php","脱铵二楼除尘器放水管过高，无过挢，无安全警示，一名脱硫巡检工在巡检时不慎被绊倒造成左胳膊前臂骨折，入院治疗。")</f>
        <v>脱铵二楼除尘器放水管过高，无过挢，无安全警示，一名脱硫巡检工在巡检时不慎被绊倒造成左胳膊前臂骨折，入院治疗。</v>
      </c>
      <c r="E190" s="19" t="s">
        <v>1079</v>
      </c>
      <c r="F190" s="25" t="s">
        <v>828</v>
      </c>
      <c r="G190" s="22" t="s">
        <v>64</v>
      </c>
      <c r="H190" s="19" t="s">
        <v>44</v>
      </c>
      <c r="I190" s="19" t="s">
        <v>119</v>
      </c>
      <c r="J190" s="19" t="s">
        <v>45</v>
      </c>
      <c r="K190" s="19"/>
      <c r="L190" s="19"/>
      <c r="M190" s="19" t="s">
        <v>663</v>
      </c>
      <c r="N190" s="19" t="s">
        <v>1080</v>
      </c>
      <c r="O190" s="19" t="s">
        <v>663</v>
      </c>
      <c r="P190" s="19" t="s">
        <v>664</v>
      </c>
      <c r="Q190" s="19" t="s">
        <v>1081</v>
      </c>
      <c r="R190" s="19" t="s">
        <v>1082</v>
      </c>
      <c r="S190" s="19"/>
      <c r="T190" s="19" t="s">
        <v>52</v>
      </c>
      <c r="U190" s="19" t="s">
        <v>89</v>
      </c>
      <c r="V190" s="19" t="s">
        <v>71</v>
      </c>
      <c r="W190" s="19" t="s">
        <v>55</v>
      </c>
      <c r="X190" s="19"/>
      <c r="Y190" s="19"/>
      <c r="Z190" s="19" t="s">
        <v>1083</v>
      </c>
      <c r="AA190" s="19">
        <v>1</v>
      </c>
      <c r="AB190" s="19"/>
      <c r="AC190" s="19" t="s">
        <v>103</v>
      </c>
      <c r="AD190" s="19"/>
      <c r="AE190" s="19"/>
      <c r="AF190" s="19"/>
    </row>
    <row r="191" spans="1:34">
      <c r="A191" s="19">
        <v>183</v>
      </c>
      <c r="B191" s="19" t="s">
        <v>781</v>
      </c>
      <c r="C191" s="19" t="s">
        <v>809</v>
      </c>
      <c r="D191" s="19" t="str">
        <f>HYPERLINK("http://henontech.com/fieldsafety/harzard/harzard_show.php?rid=3580&amp;url=harzardrecs.php","化产车间南风机操作人员在电捕下面操作时，三层平台有杂物，如果平台杂物掉落，砸到操作人员身上，造成一名操作人员肩部受伤，送医诊断，肩部轻微伤，误工5天。")</f>
        <v>化产车间南风机操作人员在电捕下面操作时，三层平台有杂物，如果平台杂物掉落，砸到操作人员身上，造成一名操作人员肩部受伤，送医诊断，肩部轻微伤，误工5天。</v>
      </c>
      <c r="E191" s="19" t="s">
        <v>1084</v>
      </c>
      <c r="F191" s="20" t="s">
        <v>42</v>
      </c>
      <c r="G191" s="22" t="s">
        <v>64</v>
      </c>
      <c r="H191" s="19" t="s">
        <v>44</v>
      </c>
      <c r="I191" s="19" t="s">
        <v>106</v>
      </c>
      <c r="J191" s="19" t="s">
        <v>527</v>
      </c>
      <c r="K191" s="19" t="s">
        <v>108</v>
      </c>
      <c r="L191" s="19" t="s">
        <v>99</v>
      </c>
      <c r="M191" s="19" t="s">
        <v>334</v>
      </c>
      <c r="N191" s="19" t="s">
        <v>528</v>
      </c>
      <c r="O191" s="19" t="s">
        <v>334</v>
      </c>
      <c r="P191" s="19" t="s">
        <v>346</v>
      </c>
      <c r="Q191" s="19" t="s">
        <v>978</v>
      </c>
      <c r="R191" s="19" t="s">
        <v>1085</v>
      </c>
      <c r="S191" s="19"/>
      <c r="T191" s="19" t="s">
        <v>52</v>
      </c>
      <c r="U191" s="19" t="s">
        <v>89</v>
      </c>
      <c r="V191" s="19" t="s">
        <v>54</v>
      </c>
      <c r="W191" s="19" t="s">
        <v>72</v>
      </c>
      <c r="X191" s="19"/>
      <c r="Y191" s="19"/>
      <c r="Z191" s="19" t="s">
        <v>1086</v>
      </c>
      <c r="AA191" s="19">
        <v>1</v>
      </c>
      <c r="AB191" s="19">
        <v>1</v>
      </c>
      <c r="AC191" s="19" t="s">
        <v>58</v>
      </c>
      <c r="AD191" s="19" t="s">
        <v>346</v>
      </c>
      <c r="AE191" s="19" t="s">
        <v>819</v>
      </c>
      <c r="AF191" s="19"/>
    </row>
    <row r="192" spans="1:34">
      <c r="A192" s="19">
        <v>184</v>
      </c>
      <c r="B192" s="19" t="s">
        <v>781</v>
      </c>
      <c r="C192" s="19" t="s">
        <v>809</v>
      </c>
      <c r="D192" s="19" t="str">
        <f>HYPERLINK("http://henontech.com/fieldsafety/harzard/harzard_show.php?rid=3581&amp;url=harzardrecs.php","南风机1号电捕绝缘箱蒸汽出口管有漏点，导致蒸汽泄露，如果一名操作工经过此处时被蒸汽烫伤左腿，送医务室上药后，正常上班。轻微烫伤。")</f>
        <v>南风机1号电捕绝缘箱蒸汽出口管有漏点，导致蒸汽泄露，如果一名操作工经过此处时被蒸汽烫伤左腿，送医务室上药后，正常上班。轻微烫伤。</v>
      </c>
      <c r="E192" s="19" t="s">
        <v>1087</v>
      </c>
      <c r="F192" s="20" t="s">
        <v>42</v>
      </c>
      <c r="G192" s="22" t="s">
        <v>64</v>
      </c>
      <c r="H192" s="19" t="s">
        <v>44</v>
      </c>
      <c r="I192" s="19" t="s">
        <v>119</v>
      </c>
      <c r="J192" s="19" t="s">
        <v>45</v>
      </c>
      <c r="K192" s="19" t="s">
        <v>108</v>
      </c>
      <c r="L192" s="19" t="s">
        <v>99</v>
      </c>
      <c r="M192" s="19" t="s">
        <v>334</v>
      </c>
      <c r="N192" s="19" t="s">
        <v>875</v>
      </c>
      <c r="O192" s="19" t="s">
        <v>334</v>
      </c>
      <c r="P192" s="19" t="s">
        <v>346</v>
      </c>
      <c r="Q192" s="19" t="s">
        <v>978</v>
      </c>
      <c r="R192" s="19" t="s">
        <v>1088</v>
      </c>
      <c r="S192" s="19"/>
      <c r="T192" s="19" t="s">
        <v>52</v>
      </c>
      <c r="U192" s="19" t="s">
        <v>70</v>
      </c>
      <c r="V192" s="19" t="s">
        <v>71</v>
      </c>
      <c r="W192" s="19" t="s">
        <v>72</v>
      </c>
      <c r="X192" s="19"/>
      <c r="Y192" s="19"/>
      <c r="Z192" s="19" t="s">
        <v>1089</v>
      </c>
      <c r="AA192" s="19">
        <v>1</v>
      </c>
      <c r="AB192" s="19">
        <v>1</v>
      </c>
      <c r="AC192" s="19" t="s">
        <v>58</v>
      </c>
      <c r="AD192" s="19" t="s">
        <v>346</v>
      </c>
      <c r="AE192" s="19" t="s">
        <v>751</v>
      </c>
      <c r="AF192" s="19"/>
    </row>
    <row r="193" spans="1:34" customHeight="1" ht="42">
      <c r="A193" s="19">
        <v>185</v>
      </c>
      <c r="B193" s="19" t="s">
        <v>781</v>
      </c>
      <c r="C193" s="19" t="s">
        <v>1090</v>
      </c>
      <c r="D193" s="19" t="str">
        <f>HYPERLINK("http://henontech.com/fieldsafety/harzard/harzard_show.php?rid=3582&amp;url=harzardrecs.php","一操作工在夜间下爬梯时，因此处未有照明灯不惧左脚踩空跌落在爬梯下面，导致腰部撞到除尘风机电机底座上，及时送医院检查诊断为腰部三节腰椎骨骨折，住院治疗1个月后回家休养3个月复工。")</f>
        <v>一操作工在夜间下爬梯时，因此处未有照明灯不惧左脚踩空跌落在爬梯下面，导致腰部撞到除尘风机电机底座上，及时送医院检查诊断为腰部三节腰椎骨骨折，住院治疗1个月后回家休养3个月复工。</v>
      </c>
      <c r="E193" s="19" t="s">
        <v>1091</v>
      </c>
      <c r="F193" s="25" t="s">
        <v>828</v>
      </c>
      <c r="G193" s="22" t="s">
        <v>64</v>
      </c>
      <c r="H193" s="19" t="s">
        <v>44</v>
      </c>
      <c r="I193" s="19" t="s">
        <v>106</v>
      </c>
      <c r="J193" s="19" t="s">
        <v>45</v>
      </c>
      <c r="K193" s="19" t="s">
        <v>98</v>
      </c>
      <c r="L193" s="19" t="s">
        <v>99</v>
      </c>
      <c r="M193" s="19" t="s">
        <v>46</v>
      </c>
      <c r="N193" s="19" t="s">
        <v>1092</v>
      </c>
      <c r="O193" s="19" t="s">
        <v>46</v>
      </c>
      <c r="P193" s="19" t="s">
        <v>219</v>
      </c>
      <c r="Q193" s="19" t="s">
        <v>830</v>
      </c>
      <c r="R193" s="19" t="s">
        <v>1093</v>
      </c>
      <c r="S193" s="19"/>
      <c r="T193" s="19" t="s">
        <v>52</v>
      </c>
      <c r="U193" s="19" t="s">
        <v>89</v>
      </c>
      <c r="V193" s="19" t="s">
        <v>71</v>
      </c>
      <c r="W193" s="19" t="s">
        <v>55</v>
      </c>
      <c r="X193" s="19" t="s">
        <v>90</v>
      </c>
      <c r="Y193" s="19"/>
      <c r="Z193" s="19" t="s">
        <v>1094</v>
      </c>
      <c r="AA193" s="19">
        <v>2</v>
      </c>
      <c r="AB193" s="19"/>
      <c r="AC193" s="19" t="s">
        <v>103</v>
      </c>
      <c r="AD193" s="19"/>
      <c r="AE193" s="19"/>
      <c r="AF193" s="19"/>
    </row>
    <row r="194" spans="1:34" customHeight="1" ht="42">
      <c r="A194" s="19">
        <v>186</v>
      </c>
      <c r="B194" s="19" t="s">
        <v>781</v>
      </c>
      <c r="C194" s="19" t="s">
        <v>1095</v>
      </c>
      <c r="D194" s="19" t="str">
        <f>HYPERLINK("http://henontech.com/fieldsafety/harzard/harzard_show.php?rid=3583&amp;url=harzardrecs.php","架空蒸汽管道开关阀门未设操作爬梯及平台")</f>
        <v>架空蒸汽管道开关阀门未设操作爬梯及平台</v>
      </c>
      <c r="E194" s="19" t="s">
        <v>1096</v>
      </c>
      <c r="F194" s="20" t="s">
        <v>42</v>
      </c>
      <c r="G194" s="22" t="s">
        <v>64</v>
      </c>
      <c r="H194" s="19" t="s">
        <v>44</v>
      </c>
      <c r="I194" s="19" t="s">
        <v>97</v>
      </c>
      <c r="J194" s="19" t="s">
        <v>45</v>
      </c>
      <c r="K194" s="19" t="s">
        <v>108</v>
      </c>
      <c r="L194" s="19" t="s">
        <v>99</v>
      </c>
      <c r="M194" s="19" t="s">
        <v>663</v>
      </c>
      <c r="N194" s="19" t="s">
        <v>1097</v>
      </c>
      <c r="O194" s="19" t="s">
        <v>663</v>
      </c>
      <c r="P194" s="19" t="s">
        <v>664</v>
      </c>
      <c r="Q194" s="19" t="s">
        <v>888</v>
      </c>
      <c r="R194" s="19" t="s">
        <v>1098</v>
      </c>
      <c r="S194" s="19"/>
      <c r="T194" s="19" t="s">
        <v>52</v>
      </c>
      <c r="U194" s="19" t="s">
        <v>70</v>
      </c>
      <c r="V194" s="19" t="s">
        <v>54</v>
      </c>
      <c r="W194" s="19" t="s">
        <v>81</v>
      </c>
      <c r="X194" s="19"/>
      <c r="Y194" s="19"/>
      <c r="Z194" s="19" t="s">
        <v>1099</v>
      </c>
      <c r="AA194" s="19">
        <v>2</v>
      </c>
      <c r="AB194" s="19">
        <v>2</v>
      </c>
      <c r="AC194" s="19" t="s">
        <v>58</v>
      </c>
      <c r="AD194" s="19" t="s">
        <v>664</v>
      </c>
      <c r="AE194" s="19" t="s">
        <v>932</v>
      </c>
      <c r="AF194" s="19" t="s">
        <v>1100</v>
      </c>
    </row>
    <row r="195" spans="1:34">
      <c r="A195" s="19">
        <v>187</v>
      </c>
      <c r="B195" s="19" t="s">
        <v>781</v>
      </c>
      <c r="C195" s="19" t="s">
        <v>898</v>
      </c>
      <c r="D195" s="19" t="str">
        <f>HYPERLINK("http://henontech.com/fieldsafety/harzard/harzard_show.php?rid=3584&amp;url=harzardrecs.php","梯子在使用后没有及时放在指定安全位置")</f>
        <v>梯子在使用后没有及时放在指定安全位置</v>
      </c>
      <c r="E195" s="19" t="s">
        <v>1101</v>
      </c>
      <c r="F195" s="20" t="s">
        <v>42</v>
      </c>
      <c r="G195" s="22" t="s">
        <v>64</v>
      </c>
      <c r="H195" s="19" t="s">
        <v>44</v>
      </c>
      <c r="I195" s="19" t="s">
        <v>106</v>
      </c>
      <c r="J195" s="19" t="s">
        <v>45</v>
      </c>
      <c r="K195" s="19" t="s">
        <v>216</v>
      </c>
      <c r="L195" s="19"/>
      <c r="M195" s="19" t="s">
        <v>663</v>
      </c>
      <c r="N195" s="19" t="s">
        <v>1102</v>
      </c>
      <c r="O195" s="19" t="s">
        <v>663</v>
      </c>
      <c r="P195" s="19" t="s">
        <v>664</v>
      </c>
      <c r="Q195" s="19" t="s">
        <v>860</v>
      </c>
      <c r="R195" s="19" t="s">
        <v>1103</v>
      </c>
      <c r="S195" s="19"/>
      <c r="T195" s="19" t="s">
        <v>52</v>
      </c>
      <c r="U195" s="19" t="s">
        <v>79</v>
      </c>
      <c r="V195" s="19" t="s">
        <v>54</v>
      </c>
      <c r="W195" s="19" t="s">
        <v>81</v>
      </c>
      <c r="X195" s="19"/>
      <c r="Y195" s="19"/>
      <c r="Z195" s="19" t="s">
        <v>1104</v>
      </c>
      <c r="AA195" s="19">
        <v>1</v>
      </c>
      <c r="AB195" s="19">
        <v>1</v>
      </c>
      <c r="AC195" s="19" t="s">
        <v>58</v>
      </c>
      <c r="AD195" s="19" t="s">
        <v>664</v>
      </c>
      <c r="AE195" s="19" t="s">
        <v>878</v>
      </c>
      <c r="AF195" s="19" t="s">
        <v>1105</v>
      </c>
    </row>
    <row r="196" spans="1:34">
      <c r="A196" s="19">
        <v>188</v>
      </c>
      <c r="B196" s="19" t="s">
        <v>781</v>
      </c>
      <c r="C196" s="19" t="s">
        <v>1106</v>
      </c>
      <c r="D196" s="19" t="str">
        <f>HYPERLINK("http://henontech.com/fieldsafety/harzard/harzard_show.php?rid=3585&amp;url=harzardrecs.php","3#站洗涤塔处电缆桥架盖板被风吹松动，当操作人员到现场进行巡检时未注意，盖板掉落，砸中人员头部，因佩戴安全帽，人员受到轻微惊吓，休息一会不影响工作。")</f>
        <v>3#站洗涤塔处电缆桥架盖板被风吹松动，当操作人员到现场进行巡检时未注意，盖板掉落，砸中人员头部，因佩戴安全帽，人员受到轻微惊吓，休息一会不影响工作。</v>
      </c>
      <c r="E196" s="19" t="s">
        <v>1107</v>
      </c>
      <c r="F196" s="20" t="s">
        <v>42</v>
      </c>
      <c r="G196" s="22" t="s">
        <v>64</v>
      </c>
      <c r="H196" s="19" t="s">
        <v>44</v>
      </c>
      <c r="I196" s="19" t="s">
        <v>119</v>
      </c>
      <c r="J196" s="19" t="s">
        <v>175</v>
      </c>
      <c r="K196" s="19" t="s">
        <v>108</v>
      </c>
      <c r="L196" s="19"/>
      <c r="M196" s="19" t="s">
        <v>232</v>
      </c>
      <c r="N196" s="19" t="s">
        <v>398</v>
      </c>
      <c r="O196" s="19" t="s">
        <v>232</v>
      </c>
      <c r="P196" s="19" t="s">
        <v>269</v>
      </c>
      <c r="Q196" s="19" t="s">
        <v>1108</v>
      </c>
      <c r="R196" s="19" t="s">
        <v>1109</v>
      </c>
      <c r="S196" s="19"/>
      <c r="T196" s="19" t="s">
        <v>52</v>
      </c>
      <c r="U196" s="19" t="s">
        <v>79</v>
      </c>
      <c r="V196" s="19" t="s">
        <v>71</v>
      </c>
      <c r="W196" s="19" t="s">
        <v>81</v>
      </c>
      <c r="X196" s="19" t="s">
        <v>73</v>
      </c>
      <c r="Y196" s="19" t="s">
        <v>73</v>
      </c>
      <c r="Z196" s="19" t="s">
        <v>1110</v>
      </c>
      <c r="AA196" s="19">
        <v>1</v>
      </c>
      <c r="AB196" s="19">
        <v>1</v>
      </c>
      <c r="AC196" s="19" t="s">
        <v>58</v>
      </c>
      <c r="AD196" s="19" t="s">
        <v>269</v>
      </c>
      <c r="AE196" s="19" t="s">
        <v>807</v>
      </c>
      <c r="AF196" s="19"/>
    </row>
    <row r="197" spans="1:34">
      <c r="A197" s="19">
        <v>189</v>
      </c>
      <c r="B197" s="19" t="s">
        <v>878</v>
      </c>
      <c r="C197" s="19" t="s">
        <v>1111</v>
      </c>
      <c r="D197" s="19" t="str">
        <f>HYPERLINK("http://henontech.com/fieldsafety/harzard/harzard_show.php?rid=3586&amp;url=harzardrecs.php","锅炉主控室操作人员在日常行走时不慎踩空破裂地板，受到惊吓，继续工作")</f>
        <v>锅炉主控室操作人员在日常行走时不慎踩空破裂地板，受到惊吓，继续工作</v>
      </c>
      <c r="E197" s="19" t="s">
        <v>1112</v>
      </c>
      <c r="F197" s="20" t="s">
        <v>42</v>
      </c>
      <c r="G197" s="22" t="s">
        <v>64</v>
      </c>
      <c r="H197" s="19" t="s">
        <v>44</v>
      </c>
      <c r="I197" s="19" t="s">
        <v>119</v>
      </c>
      <c r="J197" s="19" t="s">
        <v>45</v>
      </c>
      <c r="K197" s="19" t="s">
        <v>170</v>
      </c>
      <c r="L197" s="19" t="s">
        <v>99</v>
      </c>
      <c r="M197" s="19" t="s">
        <v>663</v>
      </c>
      <c r="N197" s="19" t="s">
        <v>1113</v>
      </c>
      <c r="O197" s="19" t="s">
        <v>663</v>
      </c>
      <c r="P197" s="19" t="s">
        <v>664</v>
      </c>
      <c r="Q197" s="19" t="s">
        <v>888</v>
      </c>
      <c r="R197" s="19" t="s">
        <v>1111</v>
      </c>
      <c r="S197" s="19"/>
      <c r="T197" s="19" t="s">
        <v>52</v>
      </c>
      <c r="U197" s="19" t="s">
        <v>79</v>
      </c>
      <c r="V197" s="19" t="s">
        <v>71</v>
      </c>
      <c r="W197" s="19" t="s">
        <v>81</v>
      </c>
      <c r="X197" s="19"/>
      <c r="Y197" s="19"/>
      <c r="Z197" s="19" t="s">
        <v>1114</v>
      </c>
      <c r="AA197" s="19">
        <v>1</v>
      </c>
      <c r="AB197" s="19">
        <v>1</v>
      </c>
      <c r="AC197" s="19" t="s">
        <v>58</v>
      </c>
      <c r="AD197" s="19" t="s">
        <v>664</v>
      </c>
      <c r="AE197" s="19" t="s">
        <v>759</v>
      </c>
      <c r="AF197" s="19"/>
    </row>
    <row r="198" spans="1:34">
      <c r="A198" s="19">
        <v>190</v>
      </c>
      <c r="B198" s="19" t="s">
        <v>878</v>
      </c>
      <c r="C198" s="19" t="s">
        <v>1115</v>
      </c>
      <c r="D198" s="19" t="str">
        <f>HYPERLINK("http://henontech.com/fieldsafety/harzard/harzard_show.php?rid=3587&amp;url=harzardrecs.php","空调冷凝水未引入排水沟造成地面打滑巡查人员摔倒受伤")</f>
        <v>空调冷凝水未引入排水沟造成地面打滑巡查人员摔倒受伤</v>
      </c>
      <c r="E198" s="19" t="s">
        <v>1116</v>
      </c>
      <c r="F198" s="26" t="s">
        <v>1027</v>
      </c>
      <c r="G198" s="19"/>
      <c r="H198" s="19" t="s">
        <v>44</v>
      </c>
      <c r="I198" s="19" t="s">
        <v>119</v>
      </c>
      <c r="J198" s="19" t="s">
        <v>527</v>
      </c>
      <c r="K198" s="19" t="s">
        <v>108</v>
      </c>
      <c r="L198" s="19" t="s">
        <v>99</v>
      </c>
      <c r="M198" s="19" t="s">
        <v>663</v>
      </c>
      <c r="N198" s="19" t="s">
        <v>1117</v>
      </c>
      <c r="O198" s="19"/>
      <c r="P198" s="19"/>
      <c r="Q198" s="19"/>
      <c r="R198" s="19" t="s">
        <v>1118</v>
      </c>
      <c r="S198" s="19"/>
      <c r="T198" s="19" t="s">
        <v>52</v>
      </c>
      <c r="U198" s="19" t="s">
        <v>70</v>
      </c>
      <c r="V198" s="19" t="s">
        <v>71</v>
      </c>
      <c r="W198" s="19" t="s">
        <v>72</v>
      </c>
      <c r="X198" s="19"/>
      <c r="Y198" s="19"/>
      <c r="Z198" s="19"/>
      <c r="AA198" s="19"/>
      <c r="AB198" s="19"/>
      <c r="AC198" s="19" t="s">
        <v>103</v>
      </c>
      <c r="AD198" s="19"/>
      <c r="AE198" s="19"/>
      <c r="AF198" s="19"/>
    </row>
    <row r="199" spans="1:34">
      <c r="A199" s="19">
        <v>191</v>
      </c>
      <c r="B199" s="19" t="s">
        <v>878</v>
      </c>
      <c r="C199" s="19" t="s">
        <v>1119</v>
      </c>
      <c r="D199" s="19" t="str">
        <f>HYPERLINK("http://henontech.com/fieldsafety/harzard/harzard_show.php?rid=3588&amp;url=harzardrecs.php","煤棚支架焊接处断裂，有可能造成受力不均，甚至掉落造成人员伤害。")</f>
        <v>煤棚支架焊接处断裂，有可能造成受力不均，甚至掉落造成人员伤害。</v>
      </c>
      <c r="E199" s="19" t="s">
        <v>1120</v>
      </c>
      <c r="F199" s="20" t="s">
        <v>42</v>
      </c>
      <c r="G199" s="22" t="s">
        <v>64</v>
      </c>
      <c r="H199" s="19" t="s">
        <v>44</v>
      </c>
      <c r="I199" s="19" t="s">
        <v>119</v>
      </c>
      <c r="J199" s="19" t="s">
        <v>182</v>
      </c>
      <c r="K199" s="19"/>
      <c r="L199" s="19"/>
      <c r="M199" s="19" t="s">
        <v>663</v>
      </c>
      <c r="N199" s="19" t="s">
        <v>1121</v>
      </c>
      <c r="O199" s="19" t="s">
        <v>663</v>
      </c>
      <c r="P199" s="19" t="s">
        <v>664</v>
      </c>
      <c r="Q199" s="19" t="s">
        <v>1081</v>
      </c>
      <c r="R199" s="19" t="s">
        <v>1122</v>
      </c>
      <c r="S199" s="19"/>
      <c r="T199" s="19" t="s">
        <v>78</v>
      </c>
      <c r="U199" s="19" t="s">
        <v>70</v>
      </c>
      <c r="V199" s="19" t="s">
        <v>71</v>
      </c>
      <c r="W199" s="19" t="s">
        <v>72</v>
      </c>
      <c r="X199" s="19"/>
      <c r="Y199" s="19"/>
      <c r="Z199" s="19" t="s">
        <v>1123</v>
      </c>
      <c r="AA199" s="19">
        <v>1</v>
      </c>
      <c r="AB199" s="19">
        <v>1</v>
      </c>
      <c r="AC199" s="19" t="s">
        <v>58</v>
      </c>
      <c r="AD199" s="19" t="s">
        <v>664</v>
      </c>
      <c r="AE199" s="19" t="s">
        <v>1124</v>
      </c>
      <c r="AF199" s="19"/>
    </row>
    <row r="200" spans="1:34">
      <c r="A200" s="19">
        <v>192</v>
      </c>
      <c r="B200" s="19" t="s">
        <v>878</v>
      </c>
      <c r="C200" s="19" t="s">
        <v>815</v>
      </c>
      <c r="D200" s="19" t="str">
        <f>HYPERLINK("http://henontech.com/fieldsafety/harzard/harzard_show.php?rid=3589&amp;url=harzardrecs.php","两盐东大门顶部彩钢瓦腐蚀断裂，如果夜间在视线不良的情况下，一名操作工巡检经过此处，有可能会被掉落的彩钢瓦划伤面部，经医务室简单处理后复工。")</f>
        <v>两盐东大门顶部彩钢瓦腐蚀断裂，如果夜间在视线不良的情况下，一名操作工巡检经过此处，有可能会被掉落的彩钢瓦划伤面部，经医务室简单处理后复工。</v>
      </c>
      <c r="E200" s="19" t="s">
        <v>1125</v>
      </c>
      <c r="F200" s="20" t="s">
        <v>42</v>
      </c>
      <c r="G200" s="22" t="s">
        <v>64</v>
      </c>
      <c r="H200" s="19" t="s">
        <v>44</v>
      </c>
      <c r="I200" s="19" t="s">
        <v>119</v>
      </c>
      <c r="J200" s="19" t="s">
        <v>45</v>
      </c>
      <c r="K200" s="19" t="s">
        <v>98</v>
      </c>
      <c r="L200" s="19" t="s">
        <v>99</v>
      </c>
      <c r="M200" s="19" t="s">
        <v>334</v>
      </c>
      <c r="N200" s="19" t="s">
        <v>335</v>
      </c>
      <c r="O200" s="19" t="s">
        <v>334</v>
      </c>
      <c r="P200" s="19" t="s">
        <v>346</v>
      </c>
      <c r="Q200" s="19" t="s">
        <v>978</v>
      </c>
      <c r="R200" s="19" t="s">
        <v>1126</v>
      </c>
      <c r="S200" s="19"/>
      <c r="T200" s="19" t="s">
        <v>52</v>
      </c>
      <c r="U200" s="19" t="s">
        <v>70</v>
      </c>
      <c r="V200" s="19" t="s">
        <v>54</v>
      </c>
      <c r="W200" s="19" t="s">
        <v>81</v>
      </c>
      <c r="X200" s="19"/>
      <c r="Y200" s="19"/>
      <c r="Z200" s="19" t="s">
        <v>1127</v>
      </c>
      <c r="AA200" s="19">
        <v>1</v>
      </c>
      <c r="AB200" s="19">
        <v>1</v>
      </c>
      <c r="AC200" s="19" t="s">
        <v>58</v>
      </c>
      <c r="AD200" s="19" t="s">
        <v>346</v>
      </c>
      <c r="AE200" s="19" t="s">
        <v>746</v>
      </c>
      <c r="AF200" s="19"/>
    </row>
    <row r="201" spans="1:34">
      <c r="A201" s="19">
        <v>193</v>
      </c>
      <c r="B201" s="19" t="s">
        <v>878</v>
      </c>
      <c r="C201" s="19" t="s">
        <v>501</v>
      </c>
      <c r="D201" s="19" t="str">
        <f>HYPERLINK("http://henontech.com/fieldsafety/harzard/harzard_show.php?rid=3590&amp;url=harzardrecs.php","两盐东大门因滑轨腐蚀脱落，如果一名操作工巡检时不注意经过此处，有可能会被脱落的大门砸中身体，造成腿部及肋骨多处骨折。")</f>
        <v>两盐东大门因滑轨腐蚀脱落，如果一名操作工巡检时不注意经过此处，有可能会被脱落的大门砸中身体，造成腿部及肋骨多处骨折。</v>
      </c>
      <c r="E201" s="19" t="s">
        <v>1128</v>
      </c>
      <c r="F201" s="20" t="s">
        <v>42</v>
      </c>
      <c r="G201" s="22" t="s">
        <v>64</v>
      </c>
      <c r="H201" s="19" t="s">
        <v>44</v>
      </c>
      <c r="I201" s="19" t="s">
        <v>119</v>
      </c>
      <c r="J201" s="19" t="s">
        <v>45</v>
      </c>
      <c r="K201" s="19" t="s">
        <v>98</v>
      </c>
      <c r="L201" s="19" t="s">
        <v>99</v>
      </c>
      <c r="M201" s="19" t="s">
        <v>334</v>
      </c>
      <c r="N201" s="19" t="s">
        <v>335</v>
      </c>
      <c r="O201" s="19" t="s">
        <v>334</v>
      </c>
      <c r="P201" s="19" t="s">
        <v>346</v>
      </c>
      <c r="Q201" s="19" t="s">
        <v>978</v>
      </c>
      <c r="R201" s="19" t="s">
        <v>1129</v>
      </c>
      <c r="S201" s="19"/>
      <c r="T201" s="19" t="s">
        <v>52</v>
      </c>
      <c r="U201" s="19" t="s">
        <v>89</v>
      </c>
      <c r="V201" s="19" t="s">
        <v>54</v>
      </c>
      <c r="W201" s="19" t="s">
        <v>72</v>
      </c>
      <c r="X201" s="19"/>
      <c r="Y201" s="19"/>
      <c r="Z201" s="19" t="s">
        <v>1130</v>
      </c>
      <c r="AA201" s="19">
        <v>1</v>
      </c>
      <c r="AB201" s="19">
        <v>1</v>
      </c>
      <c r="AC201" s="19" t="s">
        <v>58</v>
      </c>
      <c r="AD201" s="19" t="s">
        <v>346</v>
      </c>
      <c r="AE201" s="19" t="s">
        <v>746</v>
      </c>
      <c r="AF201" s="19"/>
    </row>
    <row r="202" spans="1:34">
      <c r="A202" s="19">
        <v>194</v>
      </c>
      <c r="B202" s="19" t="s">
        <v>878</v>
      </c>
      <c r="C202" s="19" t="s">
        <v>837</v>
      </c>
      <c r="D202" s="19" t="str">
        <f>HYPERLINK("http://henontech.com/fieldsafety/harzard/harzard_show.php?rid=3591&amp;url=harzardrecs.php","脱硫塔西侧弃用铁管未按要求放置，如果在夜间大风天气一名操作工巡检时经过此处，有可能会被大风吹倒的铁管砸中脚部，造成脚部轻微红肿")</f>
        <v>脱硫塔西侧弃用铁管未按要求放置，如果在夜间大风天气一名操作工巡检时经过此处，有可能会被大风吹倒的铁管砸中脚部，造成脚部轻微红肿</v>
      </c>
      <c r="E202" s="19" t="s">
        <v>1131</v>
      </c>
      <c r="F202" s="20" t="s">
        <v>42</v>
      </c>
      <c r="G202" s="22" t="s">
        <v>64</v>
      </c>
      <c r="H202" s="19" t="s">
        <v>44</v>
      </c>
      <c r="I202" s="19" t="s">
        <v>119</v>
      </c>
      <c r="J202" s="19" t="s">
        <v>182</v>
      </c>
      <c r="K202" s="19" t="s">
        <v>98</v>
      </c>
      <c r="L202" s="19" t="s">
        <v>99</v>
      </c>
      <c r="M202" s="19" t="s">
        <v>334</v>
      </c>
      <c r="N202" s="19" t="s">
        <v>1132</v>
      </c>
      <c r="O202" s="19" t="s">
        <v>334</v>
      </c>
      <c r="P202" s="19" t="s">
        <v>346</v>
      </c>
      <c r="Q202" s="19" t="s">
        <v>978</v>
      </c>
      <c r="R202" s="19" t="s">
        <v>1133</v>
      </c>
      <c r="S202" s="19"/>
      <c r="T202" s="19" t="s">
        <v>52</v>
      </c>
      <c r="U202" s="19" t="s">
        <v>70</v>
      </c>
      <c r="V202" s="19" t="s">
        <v>54</v>
      </c>
      <c r="W202" s="19" t="s">
        <v>81</v>
      </c>
      <c r="X202" s="19"/>
      <c r="Y202" s="19"/>
      <c r="Z202" s="19" t="s">
        <v>1134</v>
      </c>
      <c r="AA202" s="19">
        <v>1</v>
      </c>
      <c r="AB202" s="19">
        <v>1</v>
      </c>
      <c r="AC202" s="19" t="s">
        <v>58</v>
      </c>
      <c r="AD202" s="19" t="s">
        <v>346</v>
      </c>
      <c r="AE202" s="19" t="s">
        <v>746</v>
      </c>
      <c r="AF202" s="19"/>
    </row>
    <row r="203" spans="1:34" customHeight="1" ht="42">
      <c r="A203" s="19">
        <v>195</v>
      </c>
      <c r="B203" s="19" t="s">
        <v>878</v>
      </c>
      <c r="C203" s="19" t="s">
        <v>578</v>
      </c>
      <c r="D203" s="19" t="str">
        <f>HYPERLINK("http://henontech.com/fieldsafety/harzard/harzard_show.php?rid=3595&amp;url=harzardrecs.php","西五皮带机下部缺失一个托辊，运行中容易造成皮带磨损撕裂")</f>
        <v>西五皮带机下部缺失一个托辊，运行中容易造成皮带磨损撕裂</v>
      </c>
      <c r="E203" s="19" t="s">
        <v>1135</v>
      </c>
      <c r="F203" s="20" t="s">
        <v>42</v>
      </c>
      <c r="G203" s="21" t="s">
        <v>43</v>
      </c>
      <c r="H203" s="19" t="s">
        <v>44</v>
      </c>
      <c r="I203" s="19"/>
      <c r="J203" s="19" t="s">
        <v>175</v>
      </c>
      <c r="K203" s="19" t="s">
        <v>98</v>
      </c>
      <c r="L203" s="19"/>
      <c r="M203" s="19" t="s">
        <v>565</v>
      </c>
      <c r="N203" s="19" t="s">
        <v>1136</v>
      </c>
      <c r="O203" s="19" t="s">
        <v>565</v>
      </c>
      <c r="P203" s="19" t="s">
        <v>633</v>
      </c>
      <c r="Q203" s="19" t="s">
        <v>751</v>
      </c>
      <c r="R203" s="19" t="s">
        <v>628</v>
      </c>
      <c r="S203" s="19"/>
      <c r="T203" s="19" t="s">
        <v>78</v>
      </c>
      <c r="U203" s="19" t="s">
        <v>70</v>
      </c>
      <c r="V203" s="19" t="s">
        <v>54</v>
      </c>
      <c r="W203" s="19" t="s">
        <v>81</v>
      </c>
      <c r="X203" s="19" t="s">
        <v>73</v>
      </c>
      <c r="Y203" s="19" t="s">
        <v>73</v>
      </c>
      <c r="Z203" s="19" t="s">
        <v>1137</v>
      </c>
      <c r="AA203" s="19">
        <v>2</v>
      </c>
      <c r="AB203" s="19">
        <v>2</v>
      </c>
      <c r="AC203" s="19" t="s">
        <v>58</v>
      </c>
      <c r="AD203" s="19" t="s">
        <v>633</v>
      </c>
      <c r="AE203" s="19" t="s">
        <v>1012</v>
      </c>
      <c r="AF203" s="19"/>
    </row>
    <row r="204" spans="1:34">
      <c r="A204" s="19">
        <v>196</v>
      </c>
      <c r="B204" s="19" t="s">
        <v>878</v>
      </c>
      <c r="C204" s="19" t="s">
        <v>718</v>
      </c>
      <c r="D204" s="19" t="str">
        <f>HYPERLINK("http://henontech.com/fieldsafety/harzard/harzard_show.php?rid=3596&amp;url=harzardrecs.php","外包工在初冷器切割螺栓时火星掉落引起可燃物着火，操作工及时用灭火器扑灭")</f>
        <v>外包工在初冷器切割螺栓时火星掉落引起可燃物着火，操作工及时用灭火器扑灭</v>
      </c>
      <c r="E204" s="19" t="s">
        <v>1138</v>
      </c>
      <c r="F204" s="23" t="s">
        <v>96</v>
      </c>
      <c r="G204" s="22" t="s">
        <v>64</v>
      </c>
      <c r="H204" s="19" t="s">
        <v>44</v>
      </c>
      <c r="I204" s="19"/>
      <c r="J204" s="19" t="s">
        <v>45</v>
      </c>
      <c r="K204" s="19" t="s">
        <v>108</v>
      </c>
      <c r="L204" s="19" t="s">
        <v>99</v>
      </c>
      <c r="M204" s="19" t="s">
        <v>334</v>
      </c>
      <c r="N204" s="19" t="s">
        <v>1139</v>
      </c>
      <c r="O204" s="19"/>
      <c r="P204" s="19"/>
      <c r="Q204" s="19"/>
      <c r="R204" s="19" t="s">
        <v>1140</v>
      </c>
      <c r="S204" s="19" t="s">
        <v>1141</v>
      </c>
      <c r="T204" s="19" t="s">
        <v>78</v>
      </c>
      <c r="U204" s="19" t="s">
        <v>79</v>
      </c>
      <c r="V204" s="19" t="s">
        <v>71</v>
      </c>
      <c r="W204" s="19" t="s">
        <v>81</v>
      </c>
      <c r="X204" s="19"/>
      <c r="Y204" s="19"/>
      <c r="Z204" s="19"/>
      <c r="AA204" s="19">
        <v>0</v>
      </c>
      <c r="AB204" s="19"/>
      <c r="AC204" s="19" t="s">
        <v>103</v>
      </c>
      <c r="AD204" s="19"/>
      <c r="AE204" s="19"/>
      <c r="AF204" s="19"/>
    </row>
    <row r="205" spans="1:34">
      <c r="A205" s="19">
        <v>197</v>
      </c>
      <c r="B205" s="19" t="s">
        <v>878</v>
      </c>
      <c r="C205" s="19" t="s">
        <v>563</v>
      </c>
      <c r="D205" s="19" t="str">
        <f>HYPERLINK("http://henontech.com/fieldsafety/harzard/harzard_show.php?rid=3597&amp;url=harzardrecs.php","东二彩钢包边腐蚀脱落 人员经过时 包边掉落 砸到身上划破右肩膀 送医院包扎 在家修养一星期")</f>
        <v>东二彩钢包边腐蚀脱落 人员经过时 包边掉落 砸到身上划破右肩膀 送医院包扎 在家修养一星期</v>
      </c>
      <c r="E205" s="19" t="s">
        <v>1142</v>
      </c>
      <c r="F205" s="20" t="s">
        <v>42</v>
      </c>
      <c r="G205" s="22" t="s">
        <v>64</v>
      </c>
      <c r="H205" s="19" t="s">
        <v>44</v>
      </c>
      <c r="I205" s="19" t="s">
        <v>119</v>
      </c>
      <c r="J205" s="19" t="s">
        <v>175</v>
      </c>
      <c r="K205" s="19" t="s">
        <v>108</v>
      </c>
      <c r="L205" s="19"/>
      <c r="M205" s="19" t="s">
        <v>565</v>
      </c>
      <c r="N205" s="19" t="s">
        <v>1143</v>
      </c>
      <c r="O205" s="19" t="s">
        <v>565</v>
      </c>
      <c r="P205" s="19" t="s">
        <v>1144</v>
      </c>
      <c r="Q205" s="19" t="s">
        <v>1145</v>
      </c>
      <c r="R205" s="19" t="s">
        <v>1146</v>
      </c>
      <c r="S205" s="19"/>
      <c r="T205" s="19" t="s">
        <v>52</v>
      </c>
      <c r="U205" s="19" t="s">
        <v>89</v>
      </c>
      <c r="V205" s="19" t="s">
        <v>54</v>
      </c>
      <c r="W205" s="19" t="s">
        <v>72</v>
      </c>
      <c r="X205" s="19"/>
      <c r="Y205" s="19"/>
      <c r="Z205" s="19" t="s">
        <v>1147</v>
      </c>
      <c r="AA205" s="19">
        <v>1</v>
      </c>
      <c r="AB205" s="19">
        <v>1</v>
      </c>
      <c r="AC205" s="19" t="s">
        <v>58</v>
      </c>
      <c r="AD205" s="19" t="s">
        <v>1144</v>
      </c>
      <c r="AE205" s="19" t="s">
        <v>797</v>
      </c>
      <c r="AF205" s="19"/>
    </row>
    <row r="206" spans="1:34">
      <c r="A206" s="19">
        <v>198</v>
      </c>
      <c r="B206" s="19" t="s">
        <v>878</v>
      </c>
      <c r="C206" s="19" t="s">
        <v>563</v>
      </c>
      <c r="D206" s="19" t="str">
        <f>HYPERLINK("http://henontech.com/fieldsafety/harzard/harzard_show.php?rid=3598&amp;url=harzardrecs.php","二号煤厂料斗篦子处钢筋翘起 人员经过时没注意脚下被绊倒 扭伤右脚脚踝 休息一会 不影响工作")</f>
        <v>二号煤厂料斗篦子处钢筋翘起 人员经过时没注意脚下被绊倒 扭伤右脚脚踝 休息一会 不影响工作</v>
      </c>
      <c r="E206" s="19" t="s">
        <v>1148</v>
      </c>
      <c r="F206" s="20" t="s">
        <v>42</v>
      </c>
      <c r="G206" s="22" t="s">
        <v>64</v>
      </c>
      <c r="H206" s="19" t="s">
        <v>44</v>
      </c>
      <c r="I206" s="19" t="s">
        <v>119</v>
      </c>
      <c r="J206" s="19" t="s">
        <v>527</v>
      </c>
      <c r="K206" s="19" t="s">
        <v>108</v>
      </c>
      <c r="L206" s="19"/>
      <c r="M206" s="19" t="s">
        <v>565</v>
      </c>
      <c r="N206" s="19" t="s">
        <v>1143</v>
      </c>
      <c r="O206" s="19" t="s">
        <v>565</v>
      </c>
      <c r="P206" s="19" t="s">
        <v>1144</v>
      </c>
      <c r="Q206" s="19" t="s">
        <v>1145</v>
      </c>
      <c r="R206" s="19" t="s">
        <v>1149</v>
      </c>
      <c r="S206" s="19"/>
      <c r="T206" s="19" t="s">
        <v>52</v>
      </c>
      <c r="U206" s="19" t="s">
        <v>70</v>
      </c>
      <c r="V206" s="19" t="s">
        <v>54</v>
      </c>
      <c r="W206" s="19" t="s">
        <v>81</v>
      </c>
      <c r="X206" s="19"/>
      <c r="Y206" s="19"/>
      <c r="Z206" s="19" t="s">
        <v>1150</v>
      </c>
      <c r="AA206" s="19">
        <v>1</v>
      </c>
      <c r="AB206" s="19">
        <v>1</v>
      </c>
      <c r="AC206" s="19" t="s">
        <v>58</v>
      </c>
      <c r="AD206" s="19" t="s">
        <v>1144</v>
      </c>
      <c r="AE206" s="19" t="s">
        <v>797</v>
      </c>
      <c r="AF206" s="19"/>
    </row>
    <row r="207" spans="1:34">
      <c r="A207" s="19">
        <v>199</v>
      </c>
      <c r="B207" s="19" t="s">
        <v>878</v>
      </c>
      <c r="C207" s="19" t="s">
        <v>586</v>
      </c>
      <c r="D207" s="19" t="str">
        <f>HYPERLINK("http://henontech.com/fieldsafety/harzard/harzard_show.php?rid=3599&amp;url=harzardrecs.php","1618破碎机手动吊葫芦盖子掉落 操作工经过时 砸到头上造成轻微脑震荡 送医院治疗住院20天 在家修养一个月")</f>
        <v>1618破碎机手动吊葫芦盖子掉落 操作工经过时 砸到头上造成轻微脑震荡 送医院治疗住院20天 在家修养一个月</v>
      </c>
      <c r="E207" s="19" t="s">
        <v>1151</v>
      </c>
      <c r="F207" s="20" t="s">
        <v>42</v>
      </c>
      <c r="G207" s="22" t="s">
        <v>64</v>
      </c>
      <c r="H207" s="19" t="s">
        <v>44</v>
      </c>
      <c r="I207" s="19" t="s">
        <v>97</v>
      </c>
      <c r="J207" s="19" t="s">
        <v>45</v>
      </c>
      <c r="K207" s="19" t="s">
        <v>98</v>
      </c>
      <c r="L207" s="19"/>
      <c r="M207" s="19" t="s">
        <v>565</v>
      </c>
      <c r="N207" s="19" t="s">
        <v>1143</v>
      </c>
      <c r="O207" s="19" t="s">
        <v>565</v>
      </c>
      <c r="P207" s="19" t="s">
        <v>1144</v>
      </c>
      <c r="Q207" s="19" t="s">
        <v>1145</v>
      </c>
      <c r="R207" s="19">
        <v>1618</v>
      </c>
      <c r="S207" s="19"/>
      <c r="T207" s="19" t="s">
        <v>52</v>
      </c>
      <c r="U207" s="19" t="s">
        <v>70</v>
      </c>
      <c r="V207" s="19" t="s">
        <v>124</v>
      </c>
      <c r="W207" s="19" t="s">
        <v>81</v>
      </c>
      <c r="X207" s="19"/>
      <c r="Y207" s="19"/>
      <c r="Z207" s="19" t="s">
        <v>1152</v>
      </c>
      <c r="AA207" s="19">
        <v>1</v>
      </c>
      <c r="AB207" s="19">
        <v>1</v>
      </c>
      <c r="AC207" s="19" t="s">
        <v>58</v>
      </c>
      <c r="AD207" s="19" t="s">
        <v>1144</v>
      </c>
      <c r="AE207" s="19" t="s">
        <v>797</v>
      </c>
      <c r="AF207" s="19"/>
    </row>
    <row r="208" spans="1:34" customHeight="1" ht="42">
      <c r="A208" s="19">
        <v>200</v>
      </c>
      <c r="B208" s="19" t="s">
        <v>746</v>
      </c>
      <c r="C208" s="19" t="s">
        <v>1153</v>
      </c>
      <c r="D208" s="19" t="str">
        <f>HYPERLINK("http://henontech.com/fieldsafety/harzard/harzard_show.php?rid=3600&amp;url=harzardrecs.php","一名巡检工巡检时走到输煤通廊底部时，因输煤通廊老化严重，从输煤通廊底部掉下块水泥块砸中头部，当场死亡！")</f>
        <v>一名巡检工巡检时走到输煤通廊底部时，因输煤通廊老化严重，从输煤通廊底部掉下块水泥块砸中头部，当场死亡！</v>
      </c>
      <c r="E208" s="19" t="s">
        <v>1154</v>
      </c>
      <c r="F208" s="20" t="s">
        <v>42</v>
      </c>
      <c r="G208" s="22" t="s">
        <v>64</v>
      </c>
      <c r="H208" s="19" t="s">
        <v>44</v>
      </c>
      <c r="I208" s="19" t="s">
        <v>119</v>
      </c>
      <c r="J208" s="19"/>
      <c r="K208" s="19" t="s">
        <v>108</v>
      </c>
      <c r="L208" s="19"/>
      <c r="M208" s="19" t="s">
        <v>663</v>
      </c>
      <c r="N208" s="19" t="s">
        <v>1155</v>
      </c>
      <c r="O208" s="19" t="s">
        <v>663</v>
      </c>
      <c r="P208" s="19" t="s">
        <v>1004</v>
      </c>
      <c r="Q208" s="19" t="s">
        <v>926</v>
      </c>
      <c r="R208" s="19" t="s">
        <v>1156</v>
      </c>
      <c r="S208" s="19"/>
      <c r="T208" s="19" t="s">
        <v>52</v>
      </c>
      <c r="U208" s="19" t="s">
        <v>53</v>
      </c>
      <c r="V208" s="19" t="s">
        <v>71</v>
      </c>
      <c r="W208" s="19" t="s">
        <v>116</v>
      </c>
      <c r="X208" s="19" t="s">
        <v>73</v>
      </c>
      <c r="Y208" s="19"/>
      <c r="Z208" s="19" t="s">
        <v>1157</v>
      </c>
      <c r="AA208" s="19">
        <v>2</v>
      </c>
      <c r="AB208" s="19">
        <v>2</v>
      </c>
      <c r="AC208" s="19" t="s">
        <v>58</v>
      </c>
      <c r="AD208" s="19" t="s">
        <v>1004</v>
      </c>
      <c r="AE208" s="19" t="s">
        <v>1158</v>
      </c>
      <c r="AF208" s="19" t="s">
        <v>1159</v>
      </c>
    </row>
    <row r="209" spans="1:34" customHeight="1" ht="42">
      <c r="A209" s="19">
        <v>201</v>
      </c>
      <c r="B209" s="19" t="s">
        <v>746</v>
      </c>
      <c r="C209" s="19" t="s">
        <v>1119</v>
      </c>
      <c r="D209" s="19" t="str">
        <f>HYPERLINK("http://henontech.com/fieldsafety/harzard/harzard_show.php?rid=3601&amp;url=harzardrecs.php","天车抓斗副绳因挤压变形断丝，夜班上煤操作工未发现，在小煤时副绳断裂造成天车无法使用12小时。")</f>
        <v>天车抓斗副绳因挤压变形断丝，夜班上煤操作工未发现，在小煤时副绳断裂造成天车无法使用12小时。</v>
      </c>
      <c r="E209" s="19" t="s">
        <v>1160</v>
      </c>
      <c r="F209" s="20" t="s">
        <v>42</v>
      </c>
      <c r="G209" s="21" t="s">
        <v>43</v>
      </c>
      <c r="H209" s="19" t="s">
        <v>44</v>
      </c>
      <c r="I209" s="19" t="s">
        <v>119</v>
      </c>
      <c r="J209" s="19" t="s">
        <v>45</v>
      </c>
      <c r="K209" s="19" t="s">
        <v>170</v>
      </c>
      <c r="L209" s="19"/>
      <c r="M209" s="19" t="s">
        <v>663</v>
      </c>
      <c r="N209" s="19" t="s">
        <v>664</v>
      </c>
      <c r="O209" s="19" t="s">
        <v>663</v>
      </c>
      <c r="P209" s="19" t="s">
        <v>664</v>
      </c>
      <c r="Q209" s="19" t="s">
        <v>888</v>
      </c>
      <c r="R209" s="19" t="s">
        <v>1161</v>
      </c>
      <c r="S209" s="19"/>
      <c r="T209" s="19" t="s">
        <v>78</v>
      </c>
      <c r="U209" s="19" t="s">
        <v>70</v>
      </c>
      <c r="V209" s="19" t="s">
        <v>54</v>
      </c>
      <c r="W209" s="19" t="s">
        <v>81</v>
      </c>
      <c r="X209" s="19"/>
      <c r="Y209" s="19"/>
      <c r="Z209" s="19" t="s">
        <v>1162</v>
      </c>
      <c r="AA209" s="19">
        <v>2</v>
      </c>
      <c r="AB209" s="19">
        <v>2</v>
      </c>
      <c r="AC209" s="19" t="s">
        <v>58</v>
      </c>
      <c r="AD209" s="19" t="s">
        <v>664</v>
      </c>
      <c r="AE209" s="19" t="s">
        <v>751</v>
      </c>
      <c r="AF209" s="19" t="s">
        <v>1163</v>
      </c>
    </row>
    <row r="210" spans="1:34">
      <c r="A210" s="19">
        <v>202</v>
      </c>
      <c r="B210" s="19" t="s">
        <v>746</v>
      </c>
      <c r="C210" s="19" t="s">
        <v>1042</v>
      </c>
      <c r="D210" s="19" t="str">
        <f>HYPERLINK("http://henontech.com/fieldsafety/harzard/harzard_show.php?rid=3609&amp;url=harzardrecs.php","南冷凝2#洗涤泵机封漏水，若发现不及时，会造成氨水喷溅、环境污染，使巡检人员烫伤、中毒，住院治疗7天。")</f>
        <v>南冷凝2#洗涤泵机封漏水，若发现不及时，会造成氨水喷溅、环境污染，使巡检人员烫伤、中毒，住院治疗7天。</v>
      </c>
      <c r="E210" s="19" t="s">
        <v>1164</v>
      </c>
      <c r="F210" s="20" t="s">
        <v>42</v>
      </c>
      <c r="G210" s="22" t="s">
        <v>64</v>
      </c>
      <c r="H210" s="19" t="s">
        <v>44</v>
      </c>
      <c r="I210" s="19" t="s">
        <v>119</v>
      </c>
      <c r="J210" s="19" t="s">
        <v>45</v>
      </c>
      <c r="K210" s="19" t="s">
        <v>170</v>
      </c>
      <c r="L210" s="19" t="s">
        <v>99</v>
      </c>
      <c r="M210" s="19" t="s">
        <v>334</v>
      </c>
      <c r="N210" s="19" t="s">
        <v>1165</v>
      </c>
      <c r="O210" s="19" t="s">
        <v>334</v>
      </c>
      <c r="P210" s="19" t="s">
        <v>346</v>
      </c>
      <c r="Q210" s="19" t="s">
        <v>1166</v>
      </c>
      <c r="R210" s="19" t="s">
        <v>1045</v>
      </c>
      <c r="S210" s="19"/>
      <c r="T210" s="19" t="s">
        <v>52</v>
      </c>
      <c r="U210" s="19" t="s">
        <v>89</v>
      </c>
      <c r="V210" s="19" t="s">
        <v>71</v>
      </c>
      <c r="W210" s="19" t="s">
        <v>55</v>
      </c>
      <c r="X210" s="19"/>
      <c r="Y210" s="19"/>
      <c r="Z210" s="19" t="s">
        <v>1167</v>
      </c>
      <c r="AA210" s="19">
        <v>1</v>
      </c>
      <c r="AB210" s="19">
        <v>1</v>
      </c>
      <c r="AC210" s="19" t="s">
        <v>58</v>
      </c>
      <c r="AD210" s="19" t="s">
        <v>346</v>
      </c>
      <c r="AE210" s="19" t="s">
        <v>907</v>
      </c>
      <c r="AF210" s="19"/>
    </row>
    <row r="211" spans="1:34" customHeight="1" ht="42">
      <c r="A211" s="19">
        <v>203</v>
      </c>
      <c r="B211" s="19" t="s">
        <v>746</v>
      </c>
      <c r="C211" s="19" t="s">
        <v>578</v>
      </c>
      <c r="D211" s="19" t="str">
        <f>HYPERLINK("http://henontech.com/fieldsafety/harzard/harzard_show.php?rid=3610&amp;url=harzardrecs.php","西一通廊包边脱落到一路过职工左肩，造成左肩轻微伤，经医生检查没有问题。")</f>
        <v>西一通廊包边脱落到一路过职工左肩，造成左肩轻微伤，经医生检查没有问题。</v>
      </c>
      <c r="E211" s="19" t="s">
        <v>1168</v>
      </c>
      <c r="F211" s="20" t="s">
        <v>42</v>
      </c>
      <c r="G211" s="22" t="s">
        <v>64</v>
      </c>
      <c r="H211" s="19" t="s">
        <v>44</v>
      </c>
      <c r="I211" s="19" t="s">
        <v>97</v>
      </c>
      <c r="J211" s="19" t="s">
        <v>45</v>
      </c>
      <c r="K211" s="19" t="s">
        <v>176</v>
      </c>
      <c r="L211" s="19" t="s">
        <v>99</v>
      </c>
      <c r="M211" s="19" t="s">
        <v>565</v>
      </c>
      <c r="N211" s="19" t="s">
        <v>637</v>
      </c>
      <c r="O211" s="19" t="s">
        <v>565</v>
      </c>
      <c r="P211" s="19" t="s">
        <v>633</v>
      </c>
      <c r="Q211" s="19" t="s">
        <v>1169</v>
      </c>
      <c r="R211" s="19" t="s">
        <v>1170</v>
      </c>
      <c r="S211" s="19"/>
      <c r="T211" s="19" t="s">
        <v>52</v>
      </c>
      <c r="U211" s="19" t="s">
        <v>79</v>
      </c>
      <c r="V211" s="19" t="s">
        <v>54</v>
      </c>
      <c r="W211" s="19" t="s">
        <v>81</v>
      </c>
      <c r="X211" s="19" t="s">
        <v>323</v>
      </c>
      <c r="Y211" s="19" t="s">
        <v>323</v>
      </c>
      <c r="Z211" s="19" t="s">
        <v>1171</v>
      </c>
      <c r="AA211" s="19">
        <v>2</v>
      </c>
      <c r="AB211" s="19">
        <v>2</v>
      </c>
      <c r="AC211" s="19" t="s">
        <v>58</v>
      </c>
      <c r="AD211" s="19" t="s">
        <v>633</v>
      </c>
      <c r="AE211" s="19" t="s">
        <v>1012</v>
      </c>
      <c r="AF211" s="19"/>
    </row>
    <row r="212" spans="1:34">
      <c r="A212" s="19">
        <v>204</v>
      </c>
      <c r="B212" s="19" t="s">
        <v>797</v>
      </c>
      <c r="C212" s="19" t="s">
        <v>809</v>
      </c>
      <c r="D212" s="19" t="str">
        <f>HYPERLINK("http://henontech.com/fieldsafety/harzard/harzard_show.php?rid=3613&amp;url=harzardrecs.php","1#风机偶合器进油、出油温度偏高，经检查油冷却器内部水垢多，造成升高起不到冷却作用，假如油温持续升高，导致偶合器损坏，风机停车，集气道无法调节，造成市地媒体报道，焦炉冒烟环保事故。")</f>
        <v>1#风机偶合器进油、出油温度偏高，经检查油冷却器内部水垢多，造成升高起不到冷却作用，假如油温持续升高，导致偶合器损坏，风机停车，集气道无法调节，造成市地媒体报道，焦炉冒烟环保事故。</v>
      </c>
      <c r="E212" s="19" t="s">
        <v>1172</v>
      </c>
      <c r="F212" s="20" t="s">
        <v>42</v>
      </c>
      <c r="G212" s="21" t="s">
        <v>43</v>
      </c>
      <c r="H212" s="19" t="s">
        <v>44</v>
      </c>
      <c r="I212" s="19"/>
      <c r="J212" s="19" t="s">
        <v>45</v>
      </c>
      <c r="K212" s="19" t="s">
        <v>170</v>
      </c>
      <c r="L212" s="19"/>
      <c r="M212" s="19" t="s">
        <v>334</v>
      </c>
      <c r="N212" s="19" t="s">
        <v>1173</v>
      </c>
      <c r="O212" s="19" t="s">
        <v>334</v>
      </c>
      <c r="P212" s="19" t="s">
        <v>346</v>
      </c>
      <c r="Q212" s="19" t="s">
        <v>1166</v>
      </c>
      <c r="R212" s="19" t="s">
        <v>1174</v>
      </c>
      <c r="S212" s="19"/>
      <c r="T212" s="19" t="s">
        <v>1175</v>
      </c>
      <c r="U212" s="19" t="s">
        <v>53</v>
      </c>
      <c r="V212" s="19" t="s">
        <v>71</v>
      </c>
      <c r="W212" s="19" t="s">
        <v>116</v>
      </c>
      <c r="X212" s="19"/>
      <c r="Y212" s="19"/>
      <c r="Z212" s="19" t="s">
        <v>1176</v>
      </c>
      <c r="AA212" s="19">
        <v>1</v>
      </c>
      <c r="AB212" s="19">
        <v>1</v>
      </c>
      <c r="AC212" s="19" t="s">
        <v>58</v>
      </c>
      <c r="AD212" s="19" t="s">
        <v>346</v>
      </c>
      <c r="AE212" s="19" t="s">
        <v>907</v>
      </c>
      <c r="AF212" s="19"/>
    </row>
    <row r="213" spans="1:34">
      <c r="A213" s="19">
        <v>205</v>
      </c>
      <c r="B213" s="19" t="s">
        <v>797</v>
      </c>
      <c r="C213" s="19" t="s">
        <v>903</v>
      </c>
      <c r="D213" s="19" t="str">
        <f>HYPERLINK("http://henontech.com/fieldsafety/harzard/harzard_show.php?rid=3618&amp;url=harzardrecs.php","循环水新凉水架爬梯护栏锈蚀损坏，如果一名操作工在下爬梯时不注意，被右侧锈蚀的护栏划伤右腿，轻微人身伤害，不影响工作")</f>
        <v>循环水新凉水架爬梯护栏锈蚀损坏，如果一名操作工在下爬梯时不注意，被右侧锈蚀的护栏划伤右腿，轻微人身伤害，不影响工作</v>
      </c>
      <c r="E213" s="19" t="s">
        <v>1177</v>
      </c>
      <c r="F213" s="25" t="s">
        <v>828</v>
      </c>
      <c r="G213" s="22" t="s">
        <v>64</v>
      </c>
      <c r="H213" s="19" t="s">
        <v>44</v>
      </c>
      <c r="I213" s="19"/>
      <c r="J213" s="19"/>
      <c r="K213" s="19" t="s">
        <v>108</v>
      </c>
      <c r="L213" s="19" t="s">
        <v>99</v>
      </c>
      <c r="M213" s="19" t="s">
        <v>334</v>
      </c>
      <c r="N213" s="19" t="s">
        <v>482</v>
      </c>
      <c r="O213" s="19" t="s">
        <v>334</v>
      </c>
      <c r="P213" s="19" t="s">
        <v>346</v>
      </c>
      <c r="Q213" s="19" t="s">
        <v>1166</v>
      </c>
      <c r="R213" s="19" t="s">
        <v>1178</v>
      </c>
      <c r="S213" s="19"/>
      <c r="T213" s="19" t="s">
        <v>52</v>
      </c>
      <c r="U213" s="19" t="s">
        <v>70</v>
      </c>
      <c r="V213" s="19" t="s">
        <v>71</v>
      </c>
      <c r="W213" s="19" t="s">
        <v>72</v>
      </c>
      <c r="X213" s="19"/>
      <c r="Y213" s="19"/>
      <c r="Z213" s="19" t="s">
        <v>1179</v>
      </c>
      <c r="AA213" s="19">
        <v>1</v>
      </c>
      <c r="AB213" s="19"/>
      <c r="AC213" s="19" t="s">
        <v>103</v>
      </c>
      <c r="AD213" s="19"/>
      <c r="AE213" s="19"/>
      <c r="AF213" s="19"/>
    </row>
    <row r="214" spans="1:34">
      <c r="A214" s="19">
        <v>206</v>
      </c>
      <c r="B214" s="19" t="s">
        <v>797</v>
      </c>
      <c r="C214" s="19" t="s">
        <v>1111</v>
      </c>
      <c r="D214" s="19" t="str">
        <f>HYPERLINK("http://henontech.com/fieldsafety/harzard/harzard_show.php?rid=3620&amp;url=harzardrecs.php","排水沟盖板缺失，一职工在巡检时不慎掉掉入，导致右小腿外侧骨折，住院治疗30天痊愈，回家休养60天，损工9O天。")</f>
        <v>排水沟盖板缺失，一职工在巡检时不慎掉掉入，导致右小腿外侧骨折，住院治疗30天痊愈，回家休养60天，损工9O天。</v>
      </c>
      <c r="E214" s="19" t="s">
        <v>1180</v>
      </c>
      <c r="F214" s="20" t="s">
        <v>42</v>
      </c>
      <c r="G214" s="22" t="s">
        <v>64</v>
      </c>
      <c r="H214" s="19" t="s">
        <v>998</v>
      </c>
      <c r="I214" s="19" t="s">
        <v>119</v>
      </c>
      <c r="J214" s="19" t="s">
        <v>182</v>
      </c>
      <c r="K214" s="19" t="s">
        <v>176</v>
      </c>
      <c r="L214" s="19" t="s">
        <v>99</v>
      </c>
      <c r="M214" s="19" t="s">
        <v>663</v>
      </c>
      <c r="N214" s="19" t="s">
        <v>1181</v>
      </c>
      <c r="O214" s="19" t="s">
        <v>663</v>
      </c>
      <c r="P214" s="19" t="s">
        <v>664</v>
      </c>
      <c r="Q214" s="19" t="s">
        <v>888</v>
      </c>
      <c r="R214" s="19" t="s">
        <v>1182</v>
      </c>
      <c r="S214" s="19"/>
      <c r="T214" s="19" t="s">
        <v>52</v>
      </c>
      <c r="U214" s="19" t="s">
        <v>89</v>
      </c>
      <c r="V214" s="19" t="s">
        <v>71</v>
      </c>
      <c r="W214" s="19" t="s">
        <v>55</v>
      </c>
      <c r="X214" s="19"/>
      <c r="Y214" s="19"/>
      <c r="Z214" s="19" t="s">
        <v>1183</v>
      </c>
      <c r="AA214" s="19">
        <v>1</v>
      </c>
      <c r="AB214" s="19">
        <v>1</v>
      </c>
      <c r="AC214" s="19" t="s">
        <v>58</v>
      </c>
      <c r="AD214" s="19" t="s">
        <v>664</v>
      </c>
      <c r="AE214" s="19" t="s">
        <v>863</v>
      </c>
      <c r="AF214" s="19"/>
    </row>
    <row r="215" spans="1:34" customHeight="1" ht="42">
      <c r="A215" s="19">
        <v>207</v>
      </c>
      <c r="B215" s="19" t="s">
        <v>797</v>
      </c>
      <c r="C215" s="19" t="s">
        <v>1184</v>
      </c>
      <c r="D215" s="19" t="str">
        <f>HYPERLINK("http://henontech.com/fieldsafety/harzard/harzard_show.php?rid=3621&amp;url=harzardrecs.php","75t锅炉吹灰器上放置一铁盖板，离地面约20米，操作工在经过下方时，盖板被大风刮下削中颈部倒地，送医院抢救")</f>
        <v>75t锅炉吹灰器上放置一铁盖板，离地面约20米，操作工在经过下方时，盖板被大风刮下削中颈部倒地，送医院抢救</v>
      </c>
      <c r="E215" s="19" t="s">
        <v>1185</v>
      </c>
      <c r="F215" s="25" t="s">
        <v>828</v>
      </c>
      <c r="G215" s="22" t="s">
        <v>64</v>
      </c>
      <c r="H215" s="19" t="s">
        <v>44</v>
      </c>
      <c r="I215" s="19" t="s">
        <v>106</v>
      </c>
      <c r="J215" s="19" t="s">
        <v>45</v>
      </c>
      <c r="K215" s="19" t="s">
        <v>108</v>
      </c>
      <c r="L215" s="19"/>
      <c r="M215" s="19" t="s">
        <v>663</v>
      </c>
      <c r="N215" s="19" t="s">
        <v>1186</v>
      </c>
      <c r="O215" s="19" t="s">
        <v>663</v>
      </c>
      <c r="P215" s="19" t="s">
        <v>1186</v>
      </c>
      <c r="Q215" s="19" t="s">
        <v>1187</v>
      </c>
      <c r="R215" s="19" t="s">
        <v>1188</v>
      </c>
      <c r="S215" s="19"/>
      <c r="T215" s="19" t="s">
        <v>52</v>
      </c>
      <c r="U215" s="19" t="s">
        <v>53</v>
      </c>
      <c r="V215" s="19" t="s">
        <v>71</v>
      </c>
      <c r="W215" s="19" t="s">
        <v>116</v>
      </c>
      <c r="X215" s="19" t="s">
        <v>73</v>
      </c>
      <c r="Y215" s="19"/>
      <c r="Z215" s="19" t="s">
        <v>1189</v>
      </c>
      <c r="AA215" s="19">
        <v>2</v>
      </c>
      <c r="AB215" s="19"/>
      <c r="AC215" s="19" t="s">
        <v>103</v>
      </c>
      <c r="AD215" s="19"/>
      <c r="AE215" s="19"/>
      <c r="AF215" s="19"/>
    </row>
    <row r="216" spans="1:34">
      <c r="A216" s="19">
        <v>208</v>
      </c>
      <c r="B216" s="19" t="s">
        <v>797</v>
      </c>
      <c r="C216" s="19" t="s">
        <v>1190</v>
      </c>
      <c r="D216" s="19" t="str">
        <f>HYPERLINK("http://henontech.com/fieldsafety/harzard/harzard_show.php?rid=3624&amp;url=harzardrecs.php","3号料口水泥地面钢筋外露   一人员经过是不慎被外露的钢筋绊倒   扭伤右脚脚踝   休息一会不影响工作")</f>
        <v>3号料口水泥地面钢筋外露   一人员经过是不慎被外露的钢筋绊倒   扭伤右脚脚踝   休息一会不影响工作</v>
      </c>
      <c r="E216" s="19" t="s">
        <v>1191</v>
      </c>
      <c r="F216" s="26" t="s">
        <v>1027</v>
      </c>
      <c r="G216" s="19"/>
      <c r="H216" s="19" t="s">
        <v>44</v>
      </c>
      <c r="I216" s="19" t="s">
        <v>119</v>
      </c>
      <c r="J216" s="19" t="s">
        <v>527</v>
      </c>
      <c r="K216" s="19" t="s">
        <v>108</v>
      </c>
      <c r="L216" s="19"/>
      <c r="M216" s="19" t="s">
        <v>565</v>
      </c>
      <c r="N216" s="19" t="s">
        <v>1192</v>
      </c>
      <c r="O216" s="19"/>
      <c r="P216" s="19"/>
      <c r="Q216" s="19"/>
      <c r="R216" s="19" t="s">
        <v>1193</v>
      </c>
      <c r="S216" s="19"/>
      <c r="T216" s="19" t="s">
        <v>52</v>
      </c>
      <c r="U216" s="19" t="s">
        <v>70</v>
      </c>
      <c r="V216" s="19" t="s">
        <v>54</v>
      </c>
      <c r="W216" s="19" t="s">
        <v>81</v>
      </c>
      <c r="X216" s="19"/>
      <c r="Y216" s="19"/>
      <c r="Z216" s="19"/>
      <c r="AA216" s="19"/>
      <c r="AB216" s="19"/>
      <c r="AC216" s="19" t="s">
        <v>103</v>
      </c>
      <c r="AD216" s="19"/>
      <c r="AE216" s="19"/>
      <c r="AF216" s="19"/>
    </row>
    <row r="217" spans="1:34" customHeight="1" ht="42">
      <c r="A217" s="19">
        <v>209</v>
      </c>
      <c r="B217" s="19" t="s">
        <v>797</v>
      </c>
      <c r="C217" s="19" t="s">
        <v>183</v>
      </c>
      <c r="D217" s="19" t="str">
        <f>HYPERLINK("http://henontech.com/fieldsafety/harzard/harzard_show.php?rid=3625&amp;url=harzardrecs.php","废气拉条过松，在交换过程中若链条从链轮上脱落，造成废气无法交换，停止加热进行抢修2小时。")</f>
        <v>废气拉条过松，在交换过程中若链条从链轮上脱落，造成废气无法交换，停止加热进行抢修2小时。</v>
      </c>
      <c r="E217" s="19" t="s">
        <v>1194</v>
      </c>
      <c r="F217" s="20" t="s">
        <v>42</v>
      </c>
      <c r="G217" s="22" t="s">
        <v>64</v>
      </c>
      <c r="H217" s="19" t="s">
        <v>44</v>
      </c>
      <c r="I217" s="19" t="s">
        <v>192</v>
      </c>
      <c r="J217" s="19"/>
      <c r="K217" s="19"/>
      <c r="L217" s="19" t="s">
        <v>99</v>
      </c>
      <c r="M217" s="19" t="s">
        <v>46</v>
      </c>
      <c r="N217" s="19" t="s">
        <v>1195</v>
      </c>
      <c r="O217" s="19" t="s">
        <v>46</v>
      </c>
      <c r="P217" s="19" t="s">
        <v>134</v>
      </c>
      <c r="Q217" s="19" t="s">
        <v>1187</v>
      </c>
      <c r="R217" s="19" t="s">
        <v>1196</v>
      </c>
      <c r="S217" s="19"/>
      <c r="T217" s="19" t="s">
        <v>78</v>
      </c>
      <c r="U217" s="19" t="s">
        <v>70</v>
      </c>
      <c r="V217" s="19" t="s">
        <v>71</v>
      </c>
      <c r="W217" s="19" t="s">
        <v>72</v>
      </c>
      <c r="X217" s="19" t="s">
        <v>73</v>
      </c>
      <c r="Y217" s="19"/>
      <c r="Z217" s="19" t="s">
        <v>1197</v>
      </c>
      <c r="AA217" s="19">
        <v>2</v>
      </c>
      <c r="AB217" s="19">
        <v>2</v>
      </c>
      <c r="AC217" s="19" t="s">
        <v>58</v>
      </c>
      <c r="AD217" s="19" t="s">
        <v>134</v>
      </c>
      <c r="AE217" s="19" t="s">
        <v>800</v>
      </c>
      <c r="AF217" s="19" t="s">
        <v>1198</v>
      </c>
    </row>
    <row r="218" spans="1:34" customHeight="1" ht="42">
      <c r="A218" s="19">
        <v>210</v>
      </c>
      <c r="B218" s="19" t="s">
        <v>797</v>
      </c>
      <c r="C218" s="19" t="s">
        <v>1199</v>
      </c>
      <c r="D218" s="19" t="str">
        <f>HYPERLINK("http://henontech.com/fieldsafety/harzard/harzard_show.php?rid=3626&amp;url=harzardrecs.php","一管道高出集气管操作平台20公分无防护和警示标识，一操作工夜间经过此处时不慎被绊倒，左手臂磕到顺水槽上造成骨折")</f>
        <v>一管道高出集气管操作平台20公分无防护和警示标识，一操作工夜间经过此处时不慎被绊倒，左手臂磕到顺水槽上造成骨折</v>
      </c>
      <c r="E218" s="19" t="s">
        <v>1200</v>
      </c>
      <c r="F218" s="25" t="s">
        <v>828</v>
      </c>
      <c r="G218" s="22" t="s">
        <v>64</v>
      </c>
      <c r="H218" s="19" t="s">
        <v>44</v>
      </c>
      <c r="I218" s="19" t="s">
        <v>106</v>
      </c>
      <c r="J218" s="19" t="s">
        <v>182</v>
      </c>
      <c r="K218" s="19" t="s">
        <v>108</v>
      </c>
      <c r="L218" s="19" t="s">
        <v>99</v>
      </c>
      <c r="M218" s="19" t="s">
        <v>46</v>
      </c>
      <c r="N218" s="19" t="s">
        <v>1201</v>
      </c>
      <c r="O218" s="19" t="s">
        <v>46</v>
      </c>
      <c r="P218" s="19" t="s">
        <v>178</v>
      </c>
      <c r="Q218" s="19" t="s">
        <v>1187</v>
      </c>
      <c r="R218" s="19" t="s">
        <v>1202</v>
      </c>
      <c r="S218" s="19"/>
      <c r="T218" s="19" t="s">
        <v>52</v>
      </c>
      <c r="U218" s="19" t="s">
        <v>89</v>
      </c>
      <c r="V218" s="19" t="s">
        <v>71</v>
      </c>
      <c r="W218" s="19" t="s">
        <v>55</v>
      </c>
      <c r="X218" s="19" t="s">
        <v>90</v>
      </c>
      <c r="Y218" s="19"/>
      <c r="Z218" s="19" t="s">
        <v>1203</v>
      </c>
      <c r="AA218" s="19">
        <v>2</v>
      </c>
      <c r="AB218" s="19"/>
      <c r="AC218" s="19" t="s">
        <v>103</v>
      </c>
      <c r="AD218" s="19"/>
      <c r="AE218" s="19"/>
      <c r="AF218" s="19"/>
    </row>
    <row r="219" spans="1:34" customHeight="1" ht="42">
      <c r="A219" s="19">
        <v>211</v>
      </c>
      <c r="B219" s="19" t="s">
        <v>797</v>
      </c>
      <c r="C219" s="19" t="s">
        <v>183</v>
      </c>
      <c r="D219" s="19" t="str">
        <f>HYPERLINK("http://henontech.com/fieldsafety/harzard/harzard_show.php?rid=3627&amp;url=harzardrecs.php","熄焦道轨西侧水泥墙面剥离，若一操作工清扫卫生时，墙面恰巧掉落到右腿上划伤脚踝，经医务室包扎后休息10天，")</f>
        <v>熄焦道轨西侧水泥墙面剥离，若一操作工清扫卫生时，墙面恰巧掉落到右腿上划伤脚踝，经医务室包扎后休息10天，</v>
      </c>
      <c r="E219" s="19" t="s">
        <v>1204</v>
      </c>
      <c r="F219" s="25" t="s">
        <v>828</v>
      </c>
      <c r="G219" s="21" t="s">
        <v>43</v>
      </c>
      <c r="H219" s="19" t="s">
        <v>44</v>
      </c>
      <c r="I219" s="19" t="s">
        <v>119</v>
      </c>
      <c r="J219" s="19" t="s">
        <v>45</v>
      </c>
      <c r="K219" s="19"/>
      <c r="L219" s="19"/>
      <c r="M219" s="19" t="s">
        <v>46</v>
      </c>
      <c r="N219" s="19" t="s">
        <v>1205</v>
      </c>
      <c r="O219" s="19" t="s">
        <v>46</v>
      </c>
      <c r="P219" s="19" t="s">
        <v>134</v>
      </c>
      <c r="Q219" s="19" t="s">
        <v>1187</v>
      </c>
      <c r="R219" s="19" t="s">
        <v>1206</v>
      </c>
      <c r="S219" s="19"/>
      <c r="T219" s="19" t="s">
        <v>52</v>
      </c>
      <c r="U219" s="19" t="s">
        <v>89</v>
      </c>
      <c r="V219" s="19" t="s">
        <v>54</v>
      </c>
      <c r="W219" s="19" t="s">
        <v>72</v>
      </c>
      <c r="X219" s="19" t="s">
        <v>90</v>
      </c>
      <c r="Y219" s="19"/>
      <c r="Z219" s="19" t="s">
        <v>1207</v>
      </c>
      <c r="AA219" s="19">
        <v>2</v>
      </c>
      <c r="AB219" s="19"/>
      <c r="AC219" s="19" t="s">
        <v>103</v>
      </c>
      <c r="AD219" s="19"/>
      <c r="AE219" s="19"/>
      <c r="AF219" s="19"/>
    </row>
    <row r="220" spans="1:34">
      <c r="A220" s="19">
        <v>212</v>
      </c>
      <c r="B220" s="19" t="s">
        <v>797</v>
      </c>
      <c r="C220" s="19" t="s">
        <v>809</v>
      </c>
      <c r="D220" s="19" t="str">
        <f>HYPERLINK("http://henontech.com/fieldsafety/harzard/harzard_show.php?rid=3628&amp;url=harzardrecs.php","2#初冷器在进行夜间冲洗过程中，一名操作工在经过此处时，由于夜间视线不佳，可能会被电源开关盒上的螺丝划伤，造成左手臂轻微划伤，经简单处理，不影响工作")</f>
        <v>2#初冷器在进行夜间冲洗过程中，一名操作工在经过此处时，由于夜间视线不佳，可能会被电源开关盒上的螺丝划伤，造成左手臂轻微划伤，经简单处理，不影响工作</v>
      </c>
      <c r="E220" s="19" t="s">
        <v>1208</v>
      </c>
      <c r="F220" s="20" t="s">
        <v>42</v>
      </c>
      <c r="G220" s="22" t="s">
        <v>64</v>
      </c>
      <c r="H220" s="19" t="s">
        <v>44</v>
      </c>
      <c r="I220" s="19" t="s">
        <v>119</v>
      </c>
      <c r="J220" s="19" t="s">
        <v>45</v>
      </c>
      <c r="K220" s="19" t="s">
        <v>108</v>
      </c>
      <c r="L220" s="19"/>
      <c r="M220" s="19" t="s">
        <v>334</v>
      </c>
      <c r="N220" s="19" t="s">
        <v>1209</v>
      </c>
      <c r="O220" s="19" t="s">
        <v>334</v>
      </c>
      <c r="P220" s="19" t="s">
        <v>346</v>
      </c>
      <c r="Q220" s="19" t="s">
        <v>1166</v>
      </c>
      <c r="R220" s="19" t="s">
        <v>1210</v>
      </c>
      <c r="S220" s="19"/>
      <c r="T220" s="19" t="s">
        <v>52</v>
      </c>
      <c r="U220" s="19" t="s">
        <v>70</v>
      </c>
      <c r="V220" s="19" t="s">
        <v>54</v>
      </c>
      <c r="W220" s="19" t="s">
        <v>81</v>
      </c>
      <c r="X220" s="19"/>
      <c r="Y220" s="19"/>
      <c r="Z220" s="19" t="s">
        <v>1211</v>
      </c>
      <c r="AA220" s="19">
        <v>1</v>
      </c>
      <c r="AB220" s="19">
        <v>1</v>
      </c>
      <c r="AC220" s="19" t="s">
        <v>58</v>
      </c>
      <c r="AD220" s="19" t="s">
        <v>346</v>
      </c>
      <c r="AE220" s="19" t="s">
        <v>1212</v>
      </c>
      <c r="AF220" s="19"/>
    </row>
    <row r="221" spans="1:34">
      <c r="A221" s="19">
        <v>213</v>
      </c>
      <c r="B221" s="19" t="s">
        <v>797</v>
      </c>
      <c r="C221" s="19" t="s">
        <v>586</v>
      </c>
      <c r="D221" s="19" t="str">
        <f>HYPERLINK("http://henontech.com/fieldsafety/harzard/harzard_show.php?rid=3630&amp;url=harzardrecs.php","煤十料仓篦子腐蚀损坏，操作工在清理篦子上垃圾时由于身体前倾过大倒在篦子上，造成右手臂划伤送医务室包扎回家休息一星期后康复！")</f>
        <v>煤十料仓篦子腐蚀损坏，操作工在清理篦子上垃圾时由于身体前倾过大倒在篦子上，造成右手臂划伤送医务室包扎回家休息一星期后康复！</v>
      </c>
      <c r="E221" s="19" t="s">
        <v>1213</v>
      </c>
      <c r="F221" s="20" t="s">
        <v>42</v>
      </c>
      <c r="G221" s="22" t="s">
        <v>64</v>
      </c>
      <c r="H221" s="19" t="s">
        <v>44</v>
      </c>
      <c r="I221" s="19" t="s">
        <v>119</v>
      </c>
      <c r="J221" s="19" t="s">
        <v>45</v>
      </c>
      <c r="K221" s="19" t="s">
        <v>98</v>
      </c>
      <c r="L221" s="19" t="s">
        <v>99</v>
      </c>
      <c r="M221" s="19" t="s">
        <v>565</v>
      </c>
      <c r="N221" s="19" t="s">
        <v>649</v>
      </c>
      <c r="O221" s="19" t="s">
        <v>565</v>
      </c>
      <c r="P221" s="19" t="s">
        <v>566</v>
      </c>
      <c r="Q221" s="19" t="s">
        <v>1145</v>
      </c>
      <c r="R221" s="19" t="s">
        <v>659</v>
      </c>
      <c r="S221" s="19"/>
      <c r="T221" s="19" t="s">
        <v>52</v>
      </c>
      <c r="U221" s="19" t="s">
        <v>89</v>
      </c>
      <c r="V221" s="19" t="s">
        <v>71</v>
      </c>
      <c r="W221" s="19" t="s">
        <v>55</v>
      </c>
      <c r="X221" s="19"/>
      <c r="Y221" s="19"/>
      <c r="Z221" s="19" t="s">
        <v>1214</v>
      </c>
      <c r="AA221" s="19">
        <v>1</v>
      </c>
      <c r="AB221" s="19">
        <v>1</v>
      </c>
      <c r="AC221" s="19" t="s">
        <v>58</v>
      </c>
      <c r="AD221" s="19" t="s">
        <v>566</v>
      </c>
      <c r="AE221" s="19" t="s">
        <v>800</v>
      </c>
      <c r="AF221" s="19"/>
    </row>
    <row r="222" spans="1:34">
      <c r="A222" s="19">
        <v>214</v>
      </c>
      <c r="B222" s="19" t="s">
        <v>797</v>
      </c>
      <c r="C222" s="19" t="s">
        <v>586</v>
      </c>
      <c r="D222" s="19" t="str">
        <f>HYPERLINK("http://henontech.com/fieldsafety/harzard/harzard_show.php?rid=3631&amp;url=harzardrecs.php","煤九东平台护栏开焊，操作工在清理卫生时不慎滑倒在开焊位置身体窜出护栏跌至二十米地面，送医院后抢救无效死亡！")</f>
        <v>煤九东平台护栏开焊，操作工在清理卫生时不慎滑倒在开焊位置身体窜出护栏跌至二十米地面，送医院后抢救无效死亡！</v>
      </c>
      <c r="E222" s="19" t="s">
        <v>1215</v>
      </c>
      <c r="F222" s="20" t="s">
        <v>42</v>
      </c>
      <c r="G222" s="22" t="s">
        <v>64</v>
      </c>
      <c r="H222" s="19" t="s">
        <v>44</v>
      </c>
      <c r="I222" s="19" t="s">
        <v>119</v>
      </c>
      <c r="J222" s="19" t="s">
        <v>45</v>
      </c>
      <c r="K222" s="19" t="s">
        <v>98</v>
      </c>
      <c r="L222" s="19" t="s">
        <v>99</v>
      </c>
      <c r="M222" s="19" t="s">
        <v>565</v>
      </c>
      <c r="N222" s="19" t="s">
        <v>649</v>
      </c>
      <c r="O222" s="19" t="s">
        <v>565</v>
      </c>
      <c r="P222" s="19" t="s">
        <v>566</v>
      </c>
      <c r="Q222" s="19" t="s">
        <v>1145</v>
      </c>
      <c r="R222" s="19" t="s">
        <v>1216</v>
      </c>
      <c r="S222" s="19"/>
      <c r="T222" s="19" t="s">
        <v>52</v>
      </c>
      <c r="U222" s="19" t="s">
        <v>53</v>
      </c>
      <c r="V222" s="19" t="s">
        <v>71</v>
      </c>
      <c r="W222" s="19" t="s">
        <v>116</v>
      </c>
      <c r="X222" s="19"/>
      <c r="Y222" s="19"/>
      <c r="Z222" s="19" t="s">
        <v>1214</v>
      </c>
      <c r="AA222" s="19">
        <v>1</v>
      </c>
      <c r="AB222" s="19">
        <v>1</v>
      </c>
      <c r="AC222" s="19" t="s">
        <v>58</v>
      </c>
      <c r="AD222" s="19" t="s">
        <v>566</v>
      </c>
      <c r="AE222" s="19" t="s">
        <v>800</v>
      </c>
      <c r="AF222" s="19"/>
    </row>
    <row r="223" spans="1:34" customHeight="1" ht="42">
      <c r="A223" s="19">
        <v>215</v>
      </c>
      <c r="B223" s="19" t="s">
        <v>800</v>
      </c>
      <c r="C223" s="19" t="s">
        <v>1217</v>
      </c>
      <c r="D223" s="19" t="str">
        <f>HYPERLINK("http://henontech.com/fieldsafety/harzard/harzard_show.php?rid=3633&amp;url=harzardrecs.php","一名操作工站在2米左右除尘电机齿轮箱旁加油时不慎掉下来造成左小腿腿骨折其他人员找来木板给伤者简单固定后，及时送往医院就医。")</f>
        <v>一名操作工站在2米左右除尘电机齿轮箱旁加油时不慎掉下来造成左小腿腿骨折其他人员找来木板给伤者简单固定后，及时送往医院就医。</v>
      </c>
      <c r="E223" s="19" t="s">
        <v>1218</v>
      </c>
      <c r="F223" s="25" t="s">
        <v>828</v>
      </c>
      <c r="G223" s="21" t="s">
        <v>43</v>
      </c>
      <c r="H223" s="19" t="s">
        <v>44</v>
      </c>
      <c r="I223" s="19"/>
      <c r="J223" s="19" t="s">
        <v>45</v>
      </c>
      <c r="K223" s="19" t="s">
        <v>108</v>
      </c>
      <c r="L223" s="19"/>
      <c r="M223" s="19" t="s">
        <v>46</v>
      </c>
      <c r="N223" s="19" t="s">
        <v>1219</v>
      </c>
      <c r="O223" s="19" t="s">
        <v>46</v>
      </c>
      <c r="P223" s="19" t="s">
        <v>100</v>
      </c>
      <c r="Q223" s="19" t="s">
        <v>1166</v>
      </c>
      <c r="R223" s="19" t="s">
        <v>1220</v>
      </c>
      <c r="S223" s="19"/>
      <c r="T223" s="19" t="s">
        <v>52</v>
      </c>
      <c r="U223" s="19" t="s">
        <v>89</v>
      </c>
      <c r="V223" s="19" t="s">
        <v>54</v>
      </c>
      <c r="W223" s="19" t="s">
        <v>72</v>
      </c>
      <c r="X223" s="19" t="s">
        <v>90</v>
      </c>
      <c r="Y223" s="19"/>
      <c r="Z223" s="19" t="s">
        <v>1221</v>
      </c>
      <c r="AA223" s="19">
        <v>2</v>
      </c>
      <c r="AB223" s="19"/>
      <c r="AC223" s="19" t="s">
        <v>103</v>
      </c>
      <c r="AD223" s="19"/>
      <c r="AE223" s="19"/>
      <c r="AF223" s="19"/>
    </row>
    <row r="224" spans="1:34">
      <c r="A224" s="19">
        <v>216</v>
      </c>
      <c r="B224" s="19" t="s">
        <v>800</v>
      </c>
      <c r="C224" s="19" t="s">
        <v>837</v>
      </c>
      <c r="D224" s="19" t="str">
        <f>HYPERLINK("http://henontech.com/fieldsafety/harzard/harzard_show.php?rid=3634&amp;url=harzardrecs.php","2#脱硫塔取样管腐蚀坏存在坠落危险，假如人员从下面经过，取样管突然坠落，可能会造成人员右臂砸伤骨折，住院15天，休养3个月后复工。")</f>
        <v>2#脱硫塔取样管腐蚀坏存在坠落危险，假如人员从下面经过，取样管突然坠落，可能会造成人员右臂砸伤骨折，住院15天，休养3个月后复工。</v>
      </c>
      <c r="E224" s="19" t="s">
        <v>1222</v>
      </c>
      <c r="F224" s="20" t="s">
        <v>42</v>
      </c>
      <c r="G224" s="22" t="s">
        <v>64</v>
      </c>
      <c r="H224" s="19" t="s">
        <v>44</v>
      </c>
      <c r="I224" s="19" t="s">
        <v>119</v>
      </c>
      <c r="J224" s="19" t="s">
        <v>182</v>
      </c>
      <c r="K224" s="19" t="s">
        <v>108</v>
      </c>
      <c r="L224" s="19"/>
      <c r="M224" s="19" t="s">
        <v>334</v>
      </c>
      <c r="N224" s="19" t="s">
        <v>1223</v>
      </c>
      <c r="O224" s="19" t="s">
        <v>334</v>
      </c>
      <c r="P224" s="19" t="s">
        <v>346</v>
      </c>
      <c r="Q224" s="19" t="s">
        <v>1166</v>
      </c>
      <c r="R224" s="19" t="s">
        <v>1224</v>
      </c>
      <c r="S224" s="19"/>
      <c r="T224" s="19" t="s">
        <v>52</v>
      </c>
      <c r="U224" s="19" t="s">
        <v>89</v>
      </c>
      <c r="V224" s="19" t="s">
        <v>54</v>
      </c>
      <c r="W224" s="19" t="s">
        <v>72</v>
      </c>
      <c r="X224" s="19"/>
      <c r="Y224" s="19"/>
      <c r="Z224" s="19" t="s">
        <v>1225</v>
      </c>
      <c r="AA224" s="19">
        <v>1</v>
      </c>
      <c r="AB224" s="19">
        <v>1</v>
      </c>
      <c r="AC224" s="19" t="s">
        <v>58</v>
      </c>
      <c r="AD224" s="19" t="s">
        <v>346</v>
      </c>
      <c r="AE224" s="19" t="s">
        <v>807</v>
      </c>
      <c r="AF224" s="19"/>
    </row>
    <row r="225" spans="1:34" customHeight="1" ht="42">
      <c r="A225" s="19">
        <v>217</v>
      </c>
      <c r="B225" s="19" t="s">
        <v>800</v>
      </c>
      <c r="C225" s="19" t="s">
        <v>1217</v>
      </c>
      <c r="D225" s="19" t="str">
        <f>HYPERLINK("http://henontech.com/fieldsafety/harzard/harzard_show.php?rid=3635&amp;url=harzardrecs.php","一名操作工巡检下爬梯时，因爬梯陡，脚底打滑不慎踩空跌落下来摔伤又小腿，送医检查腿骨骨折，住院治疗一月，休息一月。")</f>
        <v>一名操作工巡检下爬梯时，因爬梯陡，脚底打滑不慎踩空跌落下来摔伤又小腿，送医检查腿骨骨折，住院治疗一月，休息一月。</v>
      </c>
      <c r="E225" s="19" t="s">
        <v>1226</v>
      </c>
      <c r="F225" s="25" t="s">
        <v>828</v>
      </c>
      <c r="G225" s="21" t="s">
        <v>43</v>
      </c>
      <c r="H225" s="19" t="s">
        <v>44</v>
      </c>
      <c r="I225" s="19" t="s">
        <v>106</v>
      </c>
      <c r="J225" s="19" t="s">
        <v>182</v>
      </c>
      <c r="K225" s="19" t="s">
        <v>108</v>
      </c>
      <c r="L225" s="19" t="s">
        <v>99</v>
      </c>
      <c r="M225" s="19" t="s">
        <v>46</v>
      </c>
      <c r="N225" s="19" t="s">
        <v>1227</v>
      </c>
      <c r="O225" s="19" t="s">
        <v>46</v>
      </c>
      <c r="P225" s="19" t="s">
        <v>100</v>
      </c>
      <c r="Q225" s="19" t="s">
        <v>1166</v>
      </c>
      <c r="R225" s="19" t="s">
        <v>1228</v>
      </c>
      <c r="S225" s="19"/>
      <c r="T225" s="19" t="s">
        <v>52</v>
      </c>
      <c r="U225" s="19" t="s">
        <v>89</v>
      </c>
      <c r="V225" s="19" t="s">
        <v>71</v>
      </c>
      <c r="W225" s="19" t="s">
        <v>55</v>
      </c>
      <c r="X225" s="19" t="s">
        <v>90</v>
      </c>
      <c r="Y225" s="19"/>
      <c r="Z225" s="19" t="s">
        <v>1229</v>
      </c>
      <c r="AA225" s="19">
        <v>2</v>
      </c>
      <c r="AB225" s="19"/>
      <c r="AC225" s="19" t="s">
        <v>103</v>
      </c>
      <c r="AD225" s="19"/>
      <c r="AE225" s="19"/>
      <c r="AF225" s="19"/>
    </row>
    <row r="226" spans="1:34" customHeight="1" ht="42">
      <c r="A226" s="19">
        <v>218</v>
      </c>
      <c r="B226" s="19" t="s">
        <v>800</v>
      </c>
      <c r="C226" s="19" t="s">
        <v>586</v>
      </c>
      <c r="D226" s="19" t="str">
        <f>HYPERLINK("http://henontech.com/fieldsafety/harzard/harzard_show.php?rid=3637&amp;url=harzardrecs.php","煤八涨紧轴承运行中异响损坏，瞬时停带时负荷倒带，胶带偏离磨损易撕裂，造成设备损坏装置停工。")</f>
        <v>煤八涨紧轴承运行中异响损坏，瞬时停带时负荷倒带，胶带偏离磨损易撕裂，造成设备损坏装置停工。</v>
      </c>
      <c r="E226" s="19" t="s">
        <v>1230</v>
      </c>
      <c r="F226" s="20" t="s">
        <v>42</v>
      </c>
      <c r="G226" s="21" t="s">
        <v>43</v>
      </c>
      <c r="H226" s="19" t="s">
        <v>44</v>
      </c>
      <c r="I226" s="19"/>
      <c r="J226" s="19" t="s">
        <v>175</v>
      </c>
      <c r="K226" s="19"/>
      <c r="L226" s="19"/>
      <c r="M226" s="19" t="s">
        <v>565</v>
      </c>
      <c r="N226" s="19" t="s">
        <v>1231</v>
      </c>
      <c r="O226" s="19" t="s">
        <v>565</v>
      </c>
      <c r="P226" s="19" t="s">
        <v>633</v>
      </c>
      <c r="Q226" s="19" t="s">
        <v>1169</v>
      </c>
      <c r="R226" s="19" t="s">
        <v>1232</v>
      </c>
      <c r="S226" s="19"/>
      <c r="T226" s="19" t="s">
        <v>78</v>
      </c>
      <c r="U226" s="19" t="s">
        <v>79</v>
      </c>
      <c r="V226" s="19" t="s">
        <v>71</v>
      </c>
      <c r="W226" s="19" t="s">
        <v>81</v>
      </c>
      <c r="X226" s="19" t="s">
        <v>73</v>
      </c>
      <c r="Y226" s="19" t="s">
        <v>73</v>
      </c>
      <c r="Z226" s="19" t="s">
        <v>1233</v>
      </c>
      <c r="AA226" s="19">
        <v>2</v>
      </c>
      <c r="AB226" s="19">
        <v>2</v>
      </c>
      <c r="AC226" s="19" t="s">
        <v>58</v>
      </c>
      <c r="AD226" s="19" t="s">
        <v>633</v>
      </c>
      <c r="AE226" s="19" t="s">
        <v>761</v>
      </c>
      <c r="AF226" s="19"/>
    </row>
    <row r="227" spans="1:34" customHeight="1" ht="42">
      <c r="A227" s="19">
        <v>219</v>
      </c>
      <c r="B227" s="19" t="s">
        <v>800</v>
      </c>
      <c r="C227" s="19" t="s">
        <v>1234</v>
      </c>
      <c r="D227" s="19" t="str">
        <f>HYPERLINK("http://henontech.com/fieldsafety/harzard/harzard_show.php?rid=3641&amp;url=harzardrecs.php","干熄车接焦操作时，若掉出的红焦从缺少防护网处，掉入通廊内恰巧掉到在此清扫卫生的一名职工脖子上，送医院治疗一天休养七天。")</f>
        <v>干熄车接焦操作时，若掉出的红焦从缺少防护网处，掉入通廊内恰巧掉到在此清扫卫生的一名职工脖子上，送医院治疗一天休养七天。</v>
      </c>
      <c r="E227" s="19" t="s">
        <v>1235</v>
      </c>
      <c r="F227" s="25" t="s">
        <v>828</v>
      </c>
      <c r="G227" s="22" t="s">
        <v>64</v>
      </c>
      <c r="H227" s="19" t="s">
        <v>44</v>
      </c>
      <c r="I227" s="19"/>
      <c r="J227" s="19" t="s">
        <v>45</v>
      </c>
      <c r="K227" s="19"/>
      <c r="L227" s="19"/>
      <c r="M227" s="19" t="s">
        <v>46</v>
      </c>
      <c r="N227" s="19" t="s">
        <v>1236</v>
      </c>
      <c r="O227" s="19" t="s">
        <v>46</v>
      </c>
      <c r="P227" s="19" t="s">
        <v>134</v>
      </c>
      <c r="Q227" s="19" t="s">
        <v>1166</v>
      </c>
      <c r="R227" s="19" t="s">
        <v>1237</v>
      </c>
      <c r="S227" s="19"/>
      <c r="T227" s="19" t="s">
        <v>52</v>
      </c>
      <c r="U227" s="19" t="s">
        <v>89</v>
      </c>
      <c r="V227" s="19" t="s">
        <v>71</v>
      </c>
      <c r="W227" s="19" t="s">
        <v>55</v>
      </c>
      <c r="X227" s="19" t="s">
        <v>90</v>
      </c>
      <c r="Y227" s="19"/>
      <c r="Z227" s="19" t="s">
        <v>1238</v>
      </c>
      <c r="AA227" s="19">
        <v>2</v>
      </c>
      <c r="AB227" s="19"/>
      <c r="AC227" s="19" t="s">
        <v>103</v>
      </c>
      <c r="AD227" s="19"/>
      <c r="AE227" s="19"/>
      <c r="AF227" s="19"/>
    </row>
    <row r="228" spans="1:34">
      <c r="A228" s="19">
        <v>220</v>
      </c>
      <c r="B228" s="19" t="s">
        <v>800</v>
      </c>
      <c r="C228" s="19" t="s">
        <v>578</v>
      </c>
      <c r="D228" s="19" t="str">
        <f>HYPERLINK("http://henontech.com/fieldsafety/harzard/harzard_show.php?rid=3643&amp;url=harzardrecs.php","水沟盖板破损，一职工在经过水沟时，右脚不慎踩到盖板，盖板断裂右脚掉入水沟，被断裂的盖板挤伤，经医院检查右腿小腿肌肉划伤，休息3天")</f>
        <v>水沟盖板破损，一职工在经过水沟时，右脚不慎踩到盖板，盖板断裂右脚掉入水沟，被断裂的盖板挤伤，经医院检查右腿小腿肌肉划伤，休息3天</v>
      </c>
      <c r="E228" s="19" t="s">
        <v>1239</v>
      </c>
      <c r="F228" s="20" t="s">
        <v>42</v>
      </c>
      <c r="G228" s="21" t="s">
        <v>43</v>
      </c>
      <c r="H228" s="19" t="s">
        <v>44</v>
      </c>
      <c r="I228" s="19" t="s">
        <v>119</v>
      </c>
      <c r="J228" s="19"/>
      <c r="K228" s="19" t="s">
        <v>108</v>
      </c>
      <c r="L228" s="19" t="s">
        <v>99</v>
      </c>
      <c r="M228" s="19" t="s">
        <v>565</v>
      </c>
      <c r="N228" s="19" t="s">
        <v>1240</v>
      </c>
      <c r="O228" s="19" t="s">
        <v>565</v>
      </c>
      <c r="P228" s="19" t="s">
        <v>566</v>
      </c>
      <c r="Q228" s="19" t="s">
        <v>1187</v>
      </c>
      <c r="R228" s="19" t="s">
        <v>1241</v>
      </c>
      <c r="S228" s="19"/>
      <c r="T228" s="19" t="s">
        <v>52</v>
      </c>
      <c r="U228" s="19" t="s">
        <v>89</v>
      </c>
      <c r="V228" s="19" t="s">
        <v>71</v>
      </c>
      <c r="W228" s="19" t="s">
        <v>55</v>
      </c>
      <c r="X228" s="19"/>
      <c r="Y228" s="19"/>
      <c r="Z228" s="19" t="s">
        <v>1242</v>
      </c>
      <c r="AA228" s="19">
        <v>1</v>
      </c>
      <c r="AB228" s="19">
        <v>1</v>
      </c>
      <c r="AC228" s="19" t="s">
        <v>58</v>
      </c>
      <c r="AD228" s="19" t="s">
        <v>566</v>
      </c>
      <c r="AE228" s="19" t="s">
        <v>800</v>
      </c>
      <c r="AF228" s="19"/>
    </row>
    <row r="229" spans="1:34" customHeight="1" ht="42">
      <c r="A229" s="19">
        <v>221</v>
      </c>
      <c r="B229" s="19" t="s">
        <v>800</v>
      </c>
      <c r="C229" s="19" t="s">
        <v>1184</v>
      </c>
      <c r="D229" s="19" t="str">
        <f>HYPERLINK("http://henontech.com/fieldsafety/harzard/harzard_show.php?rid=3644&amp;url=harzardrecs.php","集箱保温岩棉铝皮脱落，一名操作工巡检经过时，被铝皮划伤。")</f>
        <v>集箱保温岩棉铝皮脱落，一名操作工巡检经过时，被铝皮划伤。</v>
      </c>
      <c r="E229" s="19" t="s">
        <v>1243</v>
      </c>
      <c r="F229" s="20" t="s">
        <v>42</v>
      </c>
      <c r="G229" s="22" t="s">
        <v>64</v>
      </c>
      <c r="H229" s="19" t="s">
        <v>44</v>
      </c>
      <c r="I229" s="19" t="s">
        <v>119</v>
      </c>
      <c r="J229" s="19" t="s">
        <v>182</v>
      </c>
      <c r="K229" s="19" t="s">
        <v>170</v>
      </c>
      <c r="L229" s="19"/>
      <c r="M229" s="19" t="s">
        <v>663</v>
      </c>
      <c r="N229" s="19" t="s">
        <v>1004</v>
      </c>
      <c r="O229" s="19" t="s">
        <v>663</v>
      </c>
      <c r="P229" s="19" t="s">
        <v>664</v>
      </c>
      <c r="Q229" s="19" t="s">
        <v>1187</v>
      </c>
      <c r="R229" s="19" t="s">
        <v>1244</v>
      </c>
      <c r="S229" s="19"/>
      <c r="T229" s="19" t="s">
        <v>52</v>
      </c>
      <c r="U229" s="19" t="s">
        <v>70</v>
      </c>
      <c r="V229" s="19" t="s">
        <v>54</v>
      </c>
      <c r="W229" s="19" t="s">
        <v>81</v>
      </c>
      <c r="X229" s="19" t="s">
        <v>73</v>
      </c>
      <c r="Y229" s="19"/>
      <c r="Z229" s="19" t="s">
        <v>1245</v>
      </c>
      <c r="AA229" s="19">
        <v>2</v>
      </c>
      <c r="AB229" s="19">
        <v>2</v>
      </c>
      <c r="AC229" s="19" t="s">
        <v>58</v>
      </c>
      <c r="AD229" s="19" t="s">
        <v>664</v>
      </c>
      <c r="AE229" s="19" t="s">
        <v>751</v>
      </c>
      <c r="AF229" s="19"/>
    </row>
    <row r="230" spans="1:34" customHeight="1" ht="42">
      <c r="A230" s="19">
        <v>222</v>
      </c>
      <c r="B230" s="19" t="s">
        <v>800</v>
      </c>
      <c r="C230" s="19" t="s">
        <v>1246</v>
      </c>
      <c r="D230" s="19" t="str">
        <f>HYPERLINK("http://henontech.com/fieldsafety/harzard/harzard_show.php?rid=3645&amp;url=harzardrecs.php","旡警示牌，无防护")</f>
        <v>旡警示牌，无防护</v>
      </c>
      <c r="E230" s="19" t="s">
        <v>1247</v>
      </c>
      <c r="F230" s="20" t="s">
        <v>42</v>
      </c>
      <c r="G230" s="22" t="s">
        <v>64</v>
      </c>
      <c r="H230" s="19" t="s">
        <v>44</v>
      </c>
      <c r="I230" s="19" t="s">
        <v>106</v>
      </c>
      <c r="J230" s="19" t="s">
        <v>182</v>
      </c>
      <c r="K230" s="19" t="s">
        <v>176</v>
      </c>
      <c r="L230" s="19" t="s">
        <v>99</v>
      </c>
      <c r="M230" s="19" t="s">
        <v>663</v>
      </c>
      <c r="N230" s="19" t="s">
        <v>1248</v>
      </c>
      <c r="O230" s="19" t="s">
        <v>663</v>
      </c>
      <c r="P230" s="19" t="s">
        <v>664</v>
      </c>
      <c r="Q230" s="19" t="s">
        <v>1187</v>
      </c>
      <c r="R230" s="19" t="s">
        <v>1249</v>
      </c>
      <c r="S230" s="19"/>
      <c r="T230" s="19" t="s">
        <v>52</v>
      </c>
      <c r="U230" s="19" t="s">
        <v>70</v>
      </c>
      <c r="V230" s="19" t="s">
        <v>80</v>
      </c>
      <c r="W230" s="19" t="s">
        <v>55</v>
      </c>
      <c r="X230" s="19" t="s">
        <v>73</v>
      </c>
      <c r="Y230" s="19"/>
      <c r="Z230" s="19" t="s">
        <v>1250</v>
      </c>
      <c r="AA230" s="19">
        <v>2</v>
      </c>
      <c r="AB230" s="19">
        <v>2</v>
      </c>
      <c r="AC230" s="19" t="s">
        <v>58</v>
      </c>
      <c r="AD230" s="19" t="s">
        <v>664</v>
      </c>
      <c r="AE230" s="19" t="s">
        <v>965</v>
      </c>
      <c r="AF230" s="19" t="s">
        <v>1251</v>
      </c>
    </row>
    <row r="231" spans="1:34">
      <c r="A231" s="19">
        <v>223</v>
      </c>
      <c r="B231" s="19" t="s">
        <v>800</v>
      </c>
      <c r="C231" s="19" t="s">
        <v>1252</v>
      </c>
      <c r="D231" s="19" t="str">
        <f>HYPERLINK("http://henontech.com/fieldsafety/harzard/harzard_show.php?rid=3646&amp;url=harzardrecs.php","北风机电铺水封槽防雨棚顶部有一废弃电缆盖板，如果一操作工从防雨棚下经过，大风把电缆盖板刮下来，砸中人员左脚造成骨裂，住院十天，损工九十天。")</f>
        <v>北风机电铺水封槽防雨棚顶部有一废弃电缆盖板，如果一操作工从防雨棚下经过，大风把电缆盖板刮下来，砸中人员左脚造成骨裂，住院十天，损工九十天。</v>
      </c>
      <c r="E231" s="19" t="s">
        <v>1253</v>
      </c>
      <c r="F231" s="20" t="s">
        <v>42</v>
      </c>
      <c r="G231" s="22" t="s">
        <v>64</v>
      </c>
      <c r="H231" s="19" t="s">
        <v>44</v>
      </c>
      <c r="I231" s="19"/>
      <c r="J231" s="19" t="s">
        <v>45</v>
      </c>
      <c r="K231" s="19" t="s">
        <v>108</v>
      </c>
      <c r="L231" s="19" t="s">
        <v>99</v>
      </c>
      <c r="M231" s="19" t="s">
        <v>334</v>
      </c>
      <c r="N231" s="19" t="s">
        <v>811</v>
      </c>
      <c r="O231" s="19" t="s">
        <v>334</v>
      </c>
      <c r="P231" s="19" t="s">
        <v>346</v>
      </c>
      <c r="Q231" s="19" t="s">
        <v>1166</v>
      </c>
      <c r="R231" s="19" t="s">
        <v>1254</v>
      </c>
      <c r="S231" s="19"/>
      <c r="T231" s="19" t="s">
        <v>52</v>
      </c>
      <c r="U231" s="19" t="s">
        <v>89</v>
      </c>
      <c r="V231" s="19" t="s">
        <v>71</v>
      </c>
      <c r="W231" s="19" t="s">
        <v>55</v>
      </c>
      <c r="X231" s="19"/>
      <c r="Y231" s="19"/>
      <c r="Z231" s="19" t="s">
        <v>919</v>
      </c>
      <c r="AA231" s="19">
        <v>1</v>
      </c>
      <c r="AB231" s="19">
        <v>1</v>
      </c>
      <c r="AC231" s="19" t="s">
        <v>58</v>
      </c>
      <c r="AD231" s="19" t="s">
        <v>346</v>
      </c>
      <c r="AE231" s="19" t="s">
        <v>907</v>
      </c>
      <c r="AF231" s="19"/>
    </row>
    <row r="232" spans="1:34" customHeight="1" ht="42">
      <c r="A232" s="19">
        <v>224</v>
      </c>
      <c r="B232" s="19" t="s">
        <v>800</v>
      </c>
      <c r="C232" s="19" t="s">
        <v>183</v>
      </c>
      <c r="D232" s="19" t="str">
        <f>HYPERLINK("http://henontech.com/fieldsafety/harzard/harzard_show.php?rid=3647&amp;url=harzardrecs.php","送煤车顶部看杆平台处有一废弃焊接件，一操作工在下平台时，不慎绊倒摔至捣固平台，肋处横担在了平台棱上受伤，随即送医，经诊断为左侧两肋骨骨折，住院治疗7天，回家休养83天后上班")</f>
        <v>送煤车顶部看杆平台处有一废弃焊接件，一操作工在下平台时，不慎绊倒摔至捣固平台，肋处横担在了平台棱上受伤，随即送医，经诊断为左侧两肋骨骨折，住院治疗7天，回家休养83天后上班</v>
      </c>
      <c r="E232" s="19" t="s">
        <v>1255</v>
      </c>
      <c r="F232" s="25" t="s">
        <v>828</v>
      </c>
      <c r="G232" s="21" t="s">
        <v>43</v>
      </c>
      <c r="H232" s="19" t="s">
        <v>44</v>
      </c>
      <c r="I232" s="19" t="s">
        <v>97</v>
      </c>
      <c r="J232" s="19" t="s">
        <v>45</v>
      </c>
      <c r="K232" s="19" t="s">
        <v>108</v>
      </c>
      <c r="L232" s="19" t="s">
        <v>99</v>
      </c>
      <c r="M232" s="19" t="s">
        <v>46</v>
      </c>
      <c r="N232" s="19" t="s">
        <v>1256</v>
      </c>
      <c r="O232" s="19" t="s">
        <v>46</v>
      </c>
      <c r="P232" s="19" t="s">
        <v>219</v>
      </c>
      <c r="Q232" s="19" t="s">
        <v>1166</v>
      </c>
      <c r="R232" s="19" t="s">
        <v>186</v>
      </c>
      <c r="S232" s="19"/>
      <c r="T232" s="19" t="s">
        <v>52</v>
      </c>
      <c r="U232" s="19" t="s">
        <v>89</v>
      </c>
      <c r="V232" s="19" t="s">
        <v>71</v>
      </c>
      <c r="W232" s="19" t="s">
        <v>55</v>
      </c>
      <c r="X232" s="19" t="s">
        <v>56</v>
      </c>
      <c r="Y232" s="19"/>
      <c r="Z232" s="19" t="s">
        <v>1257</v>
      </c>
      <c r="AA232" s="19">
        <v>2</v>
      </c>
      <c r="AB232" s="19"/>
      <c r="AC232" s="19" t="s">
        <v>103</v>
      </c>
      <c r="AD232" s="19"/>
      <c r="AE232" s="19"/>
      <c r="AF232" s="19"/>
    </row>
    <row r="233" spans="1:34" customHeight="1" ht="42">
      <c r="A233" s="19">
        <v>225</v>
      </c>
      <c r="B233" s="19" t="s">
        <v>800</v>
      </c>
      <c r="C233" s="19" t="s">
        <v>741</v>
      </c>
      <c r="D233" s="19" t="str">
        <f>HYPERLINK("http://henontech.com/fieldsafety/harzard/harzard_show.php?rid=3648&amp;url=harzardrecs.php","因施工单位没有把地面杂物及时清走晚上光线黑暗时如果操作工巡检时被绊倒导致面部磕碰伤肩关节脱臼多处软组织挫裂伤住院治疗2天在家休养3天后康复")</f>
        <v>因施工单位没有把地面杂物及时清走晚上光线黑暗时如果操作工巡检时被绊倒导致面部磕碰伤肩关节脱臼多处软组织挫裂伤住院治疗2天在家休养3天后康复</v>
      </c>
      <c r="E233" s="19" t="s">
        <v>1258</v>
      </c>
      <c r="F233" s="20" t="s">
        <v>42</v>
      </c>
      <c r="G233" s="22" t="s">
        <v>64</v>
      </c>
      <c r="H233" s="19" t="s">
        <v>44</v>
      </c>
      <c r="I233" s="19"/>
      <c r="J233" s="19" t="s">
        <v>45</v>
      </c>
      <c r="K233" s="19" t="s">
        <v>108</v>
      </c>
      <c r="L233" s="19" t="s">
        <v>99</v>
      </c>
      <c r="M233" s="19" t="s">
        <v>334</v>
      </c>
      <c r="N233" s="19" t="s">
        <v>1259</v>
      </c>
      <c r="O233" s="19" t="s">
        <v>334</v>
      </c>
      <c r="P233" s="19" t="s">
        <v>346</v>
      </c>
      <c r="Q233" s="19" t="s">
        <v>1166</v>
      </c>
      <c r="R233" s="19" t="s">
        <v>1260</v>
      </c>
      <c r="S233" s="19"/>
      <c r="T233" s="19" t="s">
        <v>52</v>
      </c>
      <c r="U233" s="19" t="s">
        <v>89</v>
      </c>
      <c r="V233" s="19" t="s">
        <v>80</v>
      </c>
      <c r="W233" s="19" t="s">
        <v>116</v>
      </c>
      <c r="X233" s="19"/>
      <c r="Y233" s="19"/>
      <c r="Z233" s="19" t="s">
        <v>1261</v>
      </c>
      <c r="AA233" s="19">
        <v>2</v>
      </c>
      <c r="AB233" s="19">
        <v>2</v>
      </c>
      <c r="AC233" s="19" t="s">
        <v>58</v>
      </c>
      <c r="AD233" s="19" t="s">
        <v>346</v>
      </c>
      <c r="AE233" s="19" t="s">
        <v>960</v>
      </c>
      <c r="AF233" s="19"/>
    </row>
    <row r="234" spans="1:34">
      <c r="A234" s="19">
        <v>226</v>
      </c>
      <c r="B234" s="19" t="s">
        <v>715</v>
      </c>
      <c r="C234" s="19" t="s">
        <v>1042</v>
      </c>
      <c r="D234" s="19" t="str">
        <f>HYPERLINK("http://henontech.com/fieldsafety/harzard/harzard_show.php?rid=3649&amp;url=harzardrecs.php","冷凝泵房循环氨水管道有漏点，造成高温氨水喷溅外泄，造成环境污染，冷凝操作工在夜间巡检过程中未带好防护面罩，被高温氨水喷溅到脸部，送医治疗，休养六天后复工")</f>
        <v>冷凝泵房循环氨水管道有漏点，造成高温氨水喷溅外泄，造成环境污染，冷凝操作工在夜间巡检过程中未带好防护面罩，被高温氨水喷溅到脸部，送医治疗，休养六天后复工</v>
      </c>
      <c r="E234" s="19" t="s">
        <v>1043</v>
      </c>
      <c r="F234" s="20" t="s">
        <v>42</v>
      </c>
      <c r="G234" s="22" t="s">
        <v>64</v>
      </c>
      <c r="H234" s="19" t="s">
        <v>44</v>
      </c>
      <c r="I234" s="19" t="s">
        <v>119</v>
      </c>
      <c r="J234" s="19" t="s">
        <v>45</v>
      </c>
      <c r="K234" s="19" t="s">
        <v>170</v>
      </c>
      <c r="L234" s="19" t="s">
        <v>99</v>
      </c>
      <c r="M234" s="19" t="s">
        <v>334</v>
      </c>
      <c r="N234" s="19" t="s">
        <v>1044</v>
      </c>
      <c r="O234" s="19" t="s">
        <v>334</v>
      </c>
      <c r="P234" s="19" t="s">
        <v>346</v>
      </c>
      <c r="Q234" s="19" t="s">
        <v>1166</v>
      </c>
      <c r="R234" s="19" t="s">
        <v>1045</v>
      </c>
      <c r="S234" s="19"/>
      <c r="T234" s="19" t="s">
        <v>52</v>
      </c>
      <c r="U234" s="19" t="s">
        <v>89</v>
      </c>
      <c r="V234" s="19" t="s">
        <v>71</v>
      </c>
      <c r="W234" s="19" t="s">
        <v>55</v>
      </c>
      <c r="X234" s="19"/>
      <c r="Y234" s="19"/>
      <c r="Z234" s="19" t="s">
        <v>1046</v>
      </c>
      <c r="AA234" s="19">
        <v>1</v>
      </c>
      <c r="AB234" s="19">
        <v>1</v>
      </c>
      <c r="AC234" s="19" t="s">
        <v>58</v>
      </c>
      <c r="AD234" s="19" t="s">
        <v>346</v>
      </c>
      <c r="AE234" s="19" t="s">
        <v>907</v>
      </c>
      <c r="AF234" s="19"/>
    </row>
    <row r="235" spans="1:34">
      <c r="A235" s="19">
        <v>227</v>
      </c>
      <c r="B235" s="19" t="s">
        <v>715</v>
      </c>
      <c r="C235" s="19" t="s">
        <v>1217</v>
      </c>
      <c r="D235" s="19" t="str">
        <f>HYPERLINK("http://henontech.com/fieldsafety/harzard/harzard_show.php?rid=3654&amp;url=harzardrecs.php","化学水北地沟断裂巡检至此不小心掉入沟中至小腿骨折")</f>
        <v>化学水北地沟断裂巡检至此不小心掉入沟中至小腿骨折</v>
      </c>
      <c r="E235" s="19" t="s">
        <v>1262</v>
      </c>
      <c r="F235" s="23" t="s">
        <v>96</v>
      </c>
      <c r="G235" s="22" t="s">
        <v>64</v>
      </c>
      <c r="H235" s="19" t="s">
        <v>44</v>
      </c>
      <c r="I235" s="19" t="s">
        <v>1263</v>
      </c>
      <c r="J235" s="19" t="s">
        <v>45</v>
      </c>
      <c r="K235" s="19" t="s">
        <v>176</v>
      </c>
      <c r="L235" s="19" t="s">
        <v>99</v>
      </c>
      <c r="M235" s="19" t="s">
        <v>663</v>
      </c>
      <c r="N235" s="19" t="s">
        <v>1264</v>
      </c>
      <c r="O235" s="19"/>
      <c r="P235" s="19"/>
      <c r="Q235" s="19"/>
      <c r="R235" s="19" t="s">
        <v>1265</v>
      </c>
      <c r="S235" s="19" t="s">
        <v>1266</v>
      </c>
      <c r="T235" s="19" t="s">
        <v>52</v>
      </c>
      <c r="U235" s="19" t="s">
        <v>89</v>
      </c>
      <c r="V235" s="19" t="s">
        <v>71</v>
      </c>
      <c r="W235" s="19" t="s">
        <v>55</v>
      </c>
      <c r="X235" s="19"/>
      <c r="Y235" s="19"/>
      <c r="Z235" s="19"/>
      <c r="AA235" s="19">
        <v>0</v>
      </c>
      <c r="AB235" s="19"/>
      <c r="AC235" s="19" t="s">
        <v>103</v>
      </c>
      <c r="AD235" s="19"/>
      <c r="AE235" s="19"/>
      <c r="AF235" s="19"/>
    </row>
    <row r="236" spans="1:34">
      <c r="A236" s="19">
        <v>228</v>
      </c>
      <c r="B236" s="19" t="s">
        <v>715</v>
      </c>
      <c r="C236" s="19" t="s">
        <v>586</v>
      </c>
      <c r="D236" s="19" t="str">
        <f>HYPERLINK("http://henontech.com/fieldsafety/harzard/harzard_show.php?rid=3658&amp;url=harzardrecs.php","污水池因缺失盖板，一操作工清理卫生时左腿不慎跌入池内，导致该人左脚脚踝受伤，经医生治疗在家休养7天。造成一人损工事故。")</f>
        <v>污水池因缺失盖板，一操作工清理卫生时左腿不慎跌入池内，导致该人左脚脚踝受伤，经医生治疗在家休养7天。造成一人损工事故。</v>
      </c>
      <c r="E236" s="19" t="s">
        <v>1267</v>
      </c>
      <c r="F236" s="20" t="s">
        <v>42</v>
      </c>
      <c r="G236" s="22" t="s">
        <v>64</v>
      </c>
      <c r="H236" s="19" t="s">
        <v>44</v>
      </c>
      <c r="I236" s="19" t="s">
        <v>119</v>
      </c>
      <c r="J236" s="19"/>
      <c r="K236" s="19" t="s">
        <v>170</v>
      </c>
      <c r="L236" s="19" t="s">
        <v>99</v>
      </c>
      <c r="M236" s="19" t="s">
        <v>565</v>
      </c>
      <c r="N236" s="19" t="s">
        <v>1268</v>
      </c>
      <c r="O236" s="19" t="s">
        <v>565</v>
      </c>
      <c r="P236" s="19" t="s">
        <v>566</v>
      </c>
      <c r="Q236" s="19" t="s">
        <v>1169</v>
      </c>
      <c r="R236" s="19" t="s">
        <v>1269</v>
      </c>
      <c r="S236" s="19"/>
      <c r="T236" s="19" t="s">
        <v>52</v>
      </c>
      <c r="U236" s="19" t="s">
        <v>89</v>
      </c>
      <c r="V236" s="19" t="s">
        <v>71</v>
      </c>
      <c r="W236" s="19" t="s">
        <v>55</v>
      </c>
      <c r="X236" s="19"/>
      <c r="Y236" s="19"/>
      <c r="Z236" s="19" t="s">
        <v>1270</v>
      </c>
      <c r="AA236" s="19">
        <v>1</v>
      </c>
      <c r="AB236" s="19">
        <v>1</v>
      </c>
      <c r="AC236" s="19" t="s">
        <v>58</v>
      </c>
      <c r="AD236" s="19" t="s">
        <v>566</v>
      </c>
      <c r="AE236" s="19" t="s">
        <v>960</v>
      </c>
      <c r="AF236" s="19"/>
    </row>
    <row r="237" spans="1:34">
      <c r="A237" s="19">
        <v>229</v>
      </c>
      <c r="B237" s="19" t="s">
        <v>715</v>
      </c>
      <c r="C237" s="19" t="s">
        <v>837</v>
      </c>
      <c r="D237" s="19" t="str">
        <f>HYPERLINK("http://henontech.com/fieldsafety/harzard/harzard_show.php?rid=3661&amp;url=harzardrecs.php","1#溶液换热器北接地装置凸起，假如一名操作工巡检经过此处时可能被绊倒，造成膝盖软组织损伤，回家休养十天后复工")</f>
        <v>1#溶液换热器北接地装置凸起，假如一名操作工巡检经过此处时可能被绊倒，造成膝盖软组织损伤，回家休养十天后复工</v>
      </c>
      <c r="E237" s="19" t="s">
        <v>1271</v>
      </c>
      <c r="F237" s="20" t="s">
        <v>42</v>
      </c>
      <c r="G237" s="22" t="s">
        <v>64</v>
      </c>
      <c r="H237" s="19" t="s">
        <v>44</v>
      </c>
      <c r="I237" s="19" t="s">
        <v>119</v>
      </c>
      <c r="J237" s="19" t="s">
        <v>45</v>
      </c>
      <c r="K237" s="19" t="s">
        <v>108</v>
      </c>
      <c r="L237" s="19"/>
      <c r="M237" s="19" t="s">
        <v>334</v>
      </c>
      <c r="N237" s="19" t="s">
        <v>1272</v>
      </c>
      <c r="O237" s="19" t="s">
        <v>334</v>
      </c>
      <c r="P237" s="19" t="s">
        <v>346</v>
      </c>
      <c r="Q237" s="19" t="s">
        <v>1166</v>
      </c>
      <c r="R237" s="19" t="s">
        <v>1273</v>
      </c>
      <c r="S237" s="19"/>
      <c r="T237" s="19" t="s">
        <v>52</v>
      </c>
      <c r="U237" s="19" t="s">
        <v>89</v>
      </c>
      <c r="V237" s="19" t="s">
        <v>54</v>
      </c>
      <c r="W237" s="19" t="s">
        <v>72</v>
      </c>
      <c r="X237" s="19"/>
      <c r="Y237" s="19"/>
      <c r="Z237" s="19" t="s">
        <v>1274</v>
      </c>
      <c r="AA237" s="19">
        <v>1</v>
      </c>
      <c r="AB237" s="19">
        <v>1</v>
      </c>
      <c r="AC237" s="19" t="s">
        <v>58</v>
      </c>
      <c r="AD237" s="19" t="s">
        <v>346</v>
      </c>
      <c r="AE237" s="19" t="s">
        <v>1275</v>
      </c>
      <c r="AF237" s="19"/>
    </row>
    <row r="238" spans="1:34" customHeight="1" ht="42">
      <c r="A238" s="19">
        <v>230</v>
      </c>
      <c r="B238" s="19" t="s">
        <v>715</v>
      </c>
      <c r="C238" s="19" t="s">
        <v>898</v>
      </c>
      <c r="D238" s="19" t="str">
        <f>HYPERLINK("http://henontech.com/fieldsafety/harzard/harzard_show.php?rid=3662&amp;url=harzardrecs.php","新化学水二楼地面有杂物，一名巡检工在巡检时，不小心绊倒，右前臂摔伤，送医院救治。")</f>
        <v>新化学水二楼地面有杂物，一名巡检工在巡检时，不小心绊倒，右前臂摔伤，送医院救治。</v>
      </c>
      <c r="E238" s="19" t="s">
        <v>1276</v>
      </c>
      <c r="F238" s="25" t="s">
        <v>828</v>
      </c>
      <c r="G238" s="22" t="s">
        <v>64</v>
      </c>
      <c r="H238" s="19" t="s">
        <v>44</v>
      </c>
      <c r="I238" s="19" t="s">
        <v>119</v>
      </c>
      <c r="J238" s="19" t="s">
        <v>45</v>
      </c>
      <c r="K238" s="19" t="s">
        <v>170</v>
      </c>
      <c r="L238" s="19"/>
      <c r="M238" s="19" t="s">
        <v>663</v>
      </c>
      <c r="N238" s="19" t="s">
        <v>1277</v>
      </c>
      <c r="O238" s="19" t="s">
        <v>663</v>
      </c>
      <c r="P238" s="19" t="s">
        <v>1186</v>
      </c>
      <c r="Q238" s="19" t="s">
        <v>926</v>
      </c>
      <c r="R238" s="19" t="s">
        <v>1278</v>
      </c>
      <c r="S238" s="19"/>
      <c r="T238" s="19" t="s">
        <v>52</v>
      </c>
      <c r="U238" s="19" t="s">
        <v>70</v>
      </c>
      <c r="V238" s="19" t="s">
        <v>71</v>
      </c>
      <c r="W238" s="19" t="s">
        <v>72</v>
      </c>
      <c r="X238" s="19" t="s">
        <v>73</v>
      </c>
      <c r="Y238" s="19"/>
      <c r="Z238" s="19" t="s">
        <v>1279</v>
      </c>
      <c r="AA238" s="19">
        <v>2</v>
      </c>
      <c r="AB238" s="19"/>
      <c r="AC238" s="19" t="s">
        <v>103</v>
      </c>
      <c r="AD238" s="19"/>
      <c r="AE238" s="19"/>
      <c r="AF238" s="19"/>
    </row>
    <row r="239" spans="1:34">
      <c r="A239" s="19">
        <v>231</v>
      </c>
      <c r="B239" s="19" t="s">
        <v>907</v>
      </c>
      <c r="C239" s="19" t="s">
        <v>845</v>
      </c>
      <c r="D239" s="19" t="str">
        <f>HYPERLINK("http://henontech.com/fieldsafety/harzard/harzard_show.php?rid=3663&amp;url=harzardrecs.php","复用水池爬梯踏板长时间腐蚀破损严重铁板变薄，一操作工上下爬梯时踏破破损处跌倒，造成膝盖、手掌处擦伤，医务室涂抹药水后恢复正常工作。")</f>
        <v>复用水池爬梯踏板长时间腐蚀破损严重铁板变薄，一操作工上下爬梯时踏破破损处跌倒，造成膝盖、手掌处擦伤，医务室涂抹药水后恢复正常工作。</v>
      </c>
      <c r="E239" s="19" t="s">
        <v>1280</v>
      </c>
      <c r="F239" s="20" t="s">
        <v>42</v>
      </c>
      <c r="G239" s="22" t="s">
        <v>64</v>
      </c>
      <c r="H239" s="19" t="s">
        <v>44</v>
      </c>
      <c r="I239" s="19" t="s">
        <v>119</v>
      </c>
      <c r="J239" s="19" t="s">
        <v>45</v>
      </c>
      <c r="K239" s="19" t="s">
        <v>108</v>
      </c>
      <c r="L239" s="19"/>
      <c r="M239" s="19" t="s">
        <v>232</v>
      </c>
      <c r="N239" s="19" t="s">
        <v>233</v>
      </c>
      <c r="O239" s="19" t="s">
        <v>232</v>
      </c>
      <c r="P239" s="19" t="s">
        <v>1281</v>
      </c>
      <c r="Q239" s="19" t="s">
        <v>1282</v>
      </c>
      <c r="R239" s="19" t="s">
        <v>1283</v>
      </c>
      <c r="S239" s="19"/>
      <c r="T239" s="19" t="s">
        <v>52</v>
      </c>
      <c r="U239" s="19" t="s">
        <v>70</v>
      </c>
      <c r="V239" s="19" t="s">
        <v>71</v>
      </c>
      <c r="W239" s="19" t="s">
        <v>72</v>
      </c>
      <c r="X239" s="19" t="s">
        <v>73</v>
      </c>
      <c r="Y239" s="19" t="s">
        <v>73</v>
      </c>
      <c r="Z239" s="19" t="s">
        <v>1284</v>
      </c>
      <c r="AA239" s="19">
        <v>1</v>
      </c>
      <c r="AB239" s="19">
        <v>1</v>
      </c>
      <c r="AC239" s="19" t="s">
        <v>58</v>
      </c>
      <c r="AD239" s="19" t="s">
        <v>1281</v>
      </c>
      <c r="AE239" s="19" t="s">
        <v>732</v>
      </c>
      <c r="AF239" s="19"/>
    </row>
    <row r="240" spans="1:34">
      <c r="A240" s="19">
        <v>232</v>
      </c>
      <c r="B240" s="19" t="s">
        <v>907</v>
      </c>
      <c r="C240" s="19" t="s">
        <v>845</v>
      </c>
      <c r="D240" s="19" t="str">
        <f>HYPERLINK("http://henontech.com/fieldsafety/harzard/harzard_show.php?rid=3664&amp;url=harzardrecs.php","预处理污泥螺杆泵防护罩未在有效位置，一名职工手拿纱布擦拭转动设备时，纱布被联轴器卷入，造成右手食指中指扭伤，住院治疗7天在家修养1个月。")</f>
        <v>预处理污泥螺杆泵防护罩未在有效位置，一名职工手拿纱布擦拭转动设备时，纱布被联轴器卷入，造成右手食指中指扭伤，住院治疗7天在家修养1个月。</v>
      </c>
      <c r="E240" s="19" t="s">
        <v>1285</v>
      </c>
      <c r="F240" s="20" t="s">
        <v>42</v>
      </c>
      <c r="G240" s="21" t="s">
        <v>43</v>
      </c>
      <c r="H240" s="19" t="s">
        <v>44</v>
      </c>
      <c r="I240" s="19" t="s">
        <v>119</v>
      </c>
      <c r="J240" s="19" t="s">
        <v>182</v>
      </c>
      <c r="K240" s="19"/>
      <c r="L240" s="19"/>
      <c r="M240" s="19" t="s">
        <v>232</v>
      </c>
      <c r="N240" s="19" t="s">
        <v>233</v>
      </c>
      <c r="O240" s="19" t="s">
        <v>232</v>
      </c>
      <c r="P240" s="19" t="s">
        <v>1281</v>
      </c>
      <c r="Q240" s="19" t="s">
        <v>1286</v>
      </c>
      <c r="R240" s="19" t="s">
        <v>1287</v>
      </c>
      <c r="S240" s="19"/>
      <c r="T240" s="19" t="s">
        <v>52</v>
      </c>
      <c r="U240" s="19" t="s">
        <v>89</v>
      </c>
      <c r="V240" s="19" t="s">
        <v>71</v>
      </c>
      <c r="W240" s="19" t="s">
        <v>55</v>
      </c>
      <c r="X240" s="19" t="s">
        <v>73</v>
      </c>
      <c r="Y240" s="19" t="s">
        <v>73</v>
      </c>
      <c r="Z240" s="19" t="s">
        <v>1288</v>
      </c>
      <c r="AA240" s="19">
        <v>1</v>
      </c>
      <c r="AB240" s="19">
        <v>1</v>
      </c>
      <c r="AC240" s="19" t="s">
        <v>58</v>
      </c>
      <c r="AD240" s="19" t="s">
        <v>1281</v>
      </c>
      <c r="AE240" s="19" t="s">
        <v>807</v>
      </c>
      <c r="AF240" s="19"/>
    </row>
    <row r="241" spans="1:34">
      <c r="A241" s="19">
        <v>233</v>
      </c>
      <c r="B241" s="19" t="s">
        <v>907</v>
      </c>
      <c r="C241" s="19" t="s">
        <v>1042</v>
      </c>
      <c r="D241" s="19" t="str">
        <f>HYPERLINK("http://henontech.com/fieldsafety/harzard/harzard_show.php?rid=3665&amp;url=harzardrecs.php","南冷凝泵房循环氨水泵机械密封泄露，一旦泄露扩大，就会造成环境污染，冷凝操作工在巡检过程中可能会被高温氨水烫伤腿部，送医院治疗，休养治疗五天后复工。")</f>
        <v>南冷凝泵房循环氨水泵机械密封泄露，一旦泄露扩大，就会造成环境污染，冷凝操作工在巡检过程中可能会被高温氨水烫伤腿部，送医院治疗，休养治疗五天后复工。</v>
      </c>
      <c r="E241" s="19" t="s">
        <v>1043</v>
      </c>
      <c r="F241" s="20" t="s">
        <v>42</v>
      </c>
      <c r="G241" s="22" t="s">
        <v>64</v>
      </c>
      <c r="H241" s="19" t="s">
        <v>44</v>
      </c>
      <c r="I241" s="19" t="s">
        <v>119</v>
      </c>
      <c r="J241" s="19" t="s">
        <v>45</v>
      </c>
      <c r="K241" s="19" t="s">
        <v>170</v>
      </c>
      <c r="L241" s="19" t="s">
        <v>99</v>
      </c>
      <c r="M241" s="19" t="s">
        <v>334</v>
      </c>
      <c r="N241" s="19" t="s">
        <v>1044</v>
      </c>
      <c r="O241" s="19" t="s">
        <v>334</v>
      </c>
      <c r="P241" s="19" t="s">
        <v>346</v>
      </c>
      <c r="Q241" s="19" t="s">
        <v>1166</v>
      </c>
      <c r="R241" s="19" t="s">
        <v>1045</v>
      </c>
      <c r="S241" s="19"/>
      <c r="T241" s="19" t="s">
        <v>52</v>
      </c>
      <c r="U241" s="19" t="s">
        <v>89</v>
      </c>
      <c r="V241" s="19" t="s">
        <v>71</v>
      </c>
      <c r="W241" s="19" t="s">
        <v>55</v>
      </c>
      <c r="X241" s="19"/>
      <c r="Y241" s="19"/>
      <c r="Z241" s="19" t="s">
        <v>1289</v>
      </c>
      <c r="AA241" s="19">
        <v>1</v>
      </c>
      <c r="AB241" s="19">
        <v>1</v>
      </c>
      <c r="AC241" s="19" t="s">
        <v>58</v>
      </c>
      <c r="AD241" s="19" t="s">
        <v>346</v>
      </c>
      <c r="AE241" s="19" t="s">
        <v>907</v>
      </c>
      <c r="AF241" s="19"/>
    </row>
    <row r="242" spans="1:34" customHeight="1" ht="42">
      <c r="A242" s="19">
        <v>234</v>
      </c>
      <c r="B242" s="19" t="s">
        <v>907</v>
      </c>
      <c r="C242" s="19" t="s">
        <v>1217</v>
      </c>
      <c r="D242" s="19" t="str">
        <f>HYPERLINK("http://henontech.com/fieldsafety/harzard/harzard_show.php?rid=3666&amp;url=harzardrecs.php","拦焦平台北头接地电极扁铁翘起，此处无照明，夜班一名员工巡检时没有留意脚下凸起物，被翘起的扁铁绊倒导致右胳膊摔在道轨上受伤，随即送医就诊。经医生诊断为右胳膊骨折，治疗一周在家休养三个月后复工。")</f>
        <v>拦焦平台北头接地电极扁铁翘起，此处无照明，夜班一名员工巡检时没有留意脚下凸起物，被翘起的扁铁绊倒导致右胳膊摔在道轨上受伤，随即送医就诊。经医生诊断为右胳膊骨折，治疗一周在家休养三个月后复工。</v>
      </c>
      <c r="E242" s="19" t="s">
        <v>1290</v>
      </c>
      <c r="F242" s="25" t="s">
        <v>828</v>
      </c>
      <c r="G242" s="21" t="s">
        <v>43</v>
      </c>
      <c r="H242" s="19" t="s">
        <v>44</v>
      </c>
      <c r="I242" s="19" t="s">
        <v>106</v>
      </c>
      <c r="J242" s="19" t="s">
        <v>45</v>
      </c>
      <c r="K242" s="19" t="s">
        <v>108</v>
      </c>
      <c r="L242" s="19" t="s">
        <v>99</v>
      </c>
      <c r="M242" s="19" t="s">
        <v>46</v>
      </c>
      <c r="N242" s="19" t="s">
        <v>1291</v>
      </c>
      <c r="O242" s="19" t="s">
        <v>46</v>
      </c>
      <c r="P242" s="19" t="s">
        <v>219</v>
      </c>
      <c r="Q242" s="19" t="s">
        <v>1166</v>
      </c>
      <c r="R242" s="19" t="s">
        <v>1292</v>
      </c>
      <c r="S242" s="19"/>
      <c r="T242" s="19" t="s">
        <v>52</v>
      </c>
      <c r="U242" s="19" t="s">
        <v>70</v>
      </c>
      <c r="V242" s="19" t="s">
        <v>54</v>
      </c>
      <c r="W242" s="19" t="s">
        <v>81</v>
      </c>
      <c r="X242" s="19" t="s">
        <v>90</v>
      </c>
      <c r="Y242" s="19"/>
      <c r="Z242" s="19" t="s">
        <v>1293</v>
      </c>
      <c r="AA242" s="19">
        <v>2</v>
      </c>
      <c r="AB242" s="19"/>
      <c r="AC242" s="19" t="s">
        <v>103</v>
      </c>
      <c r="AD242" s="19"/>
      <c r="AE242" s="19"/>
      <c r="AF242" s="19"/>
    </row>
    <row r="243" spans="1:34">
      <c r="A243" s="19">
        <v>235</v>
      </c>
      <c r="B243" s="19" t="s">
        <v>907</v>
      </c>
      <c r="C243" s="19" t="s">
        <v>845</v>
      </c>
      <c r="D243" s="19" t="str">
        <f>HYPERLINK("http://henontech.com/fieldsafety/harzard/harzard_show.php?rid=3667&amp;url=harzardrecs.php","预处理水解酸化池北侧走道残留一废旧管口，一名操作工在巡检过程中，不慎被管口绊倒，左脚腕扭伤，行走困难，休息五天")</f>
        <v>预处理水解酸化池北侧走道残留一废旧管口，一名操作工在巡检过程中，不慎被管口绊倒，左脚腕扭伤，行走困难，休息五天</v>
      </c>
      <c r="E243" s="19" t="s">
        <v>1294</v>
      </c>
      <c r="F243" s="20" t="s">
        <v>42</v>
      </c>
      <c r="G243" s="22" t="s">
        <v>64</v>
      </c>
      <c r="H243" s="19" t="s">
        <v>44</v>
      </c>
      <c r="I243" s="19" t="s">
        <v>119</v>
      </c>
      <c r="J243" s="19" t="s">
        <v>45</v>
      </c>
      <c r="K243" s="19" t="s">
        <v>108</v>
      </c>
      <c r="L243" s="19"/>
      <c r="M243" s="19" t="s">
        <v>232</v>
      </c>
      <c r="N243" s="19" t="s">
        <v>374</v>
      </c>
      <c r="O243" s="19" t="s">
        <v>232</v>
      </c>
      <c r="P243" s="19" t="s">
        <v>1281</v>
      </c>
      <c r="Q243" s="19" t="s">
        <v>1282</v>
      </c>
      <c r="R243" s="19" t="s">
        <v>1295</v>
      </c>
      <c r="S243" s="19"/>
      <c r="T243" s="19" t="s">
        <v>52</v>
      </c>
      <c r="U243" s="19" t="s">
        <v>89</v>
      </c>
      <c r="V243" s="19" t="s">
        <v>71</v>
      </c>
      <c r="W243" s="19" t="s">
        <v>55</v>
      </c>
      <c r="X243" s="19" t="s">
        <v>73</v>
      </c>
      <c r="Y243" s="19" t="s">
        <v>73</v>
      </c>
      <c r="Z243" s="19" t="s">
        <v>1296</v>
      </c>
      <c r="AA243" s="19">
        <v>1</v>
      </c>
      <c r="AB243" s="19">
        <v>1</v>
      </c>
      <c r="AC243" s="19" t="s">
        <v>58</v>
      </c>
      <c r="AD243" s="19" t="s">
        <v>1281</v>
      </c>
      <c r="AE243" s="19" t="s">
        <v>1297</v>
      </c>
      <c r="AF243" s="19"/>
    </row>
    <row r="244" spans="1:34">
      <c r="A244" s="19">
        <v>236</v>
      </c>
      <c r="B244" s="19" t="s">
        <v>907</v>
      </c>
      <c r="C244" s="19" t="s">
        <v>909</v>
      </c>
      <c r="D244" s="19" t="str">
        <f>HYPERLINK("http://henontech.com/fieldsafety/harzard/harzard_show.php?rid=3668&amp;url=harzardrecs.php","供蒸馏蒸汽管道疏水未保温，巡检人员巡检时不慎烫伤")</f>
        <v>供蒸馏蒸汽管道疏水未保温，巡检人员巡检时不慎烫伤</v>
      </c>
      <c r="E244" s="19" t="s">
        <v>1298</v>
      </c>
      <c r="F244" s="23" t="s">
        <v>96</v>
      </c>
      <c r="G244" s="22" t="s">
        <v>64</v>
      </c>
      <c r="H244" s="19" t="s">
        <v>44</v>
      </c>
      <c r="I244" s="19" t="s">
        <v>97</v>
      </c>
      <c r="J244" s="19" t="s">
        <v>107</v>
      </c>
      <c r="K244" s="19" t="s">
        <v>108</v>
      </c>
      <c r="L244" s="19" t="s">
        <v>99</v>
      </c>
      <c r="M244" s="19" t="s">
        <v>663</v>
      </c>
      <c r="N244" s="19" t="s">
        <v>1299</v>
      </c>
      <c r="O244" s="19"/>
      <c r="P244" s="19"/>
      <c r="Q244" s="19"/>
      <c r="R244" s="19" t="s">
        <v>1300</v>
      </c>
      <c r="S244" s="19" t="s">
        <v>1301</v>
      </c>
      <c r="T244" s="19" t="s">
        <v>52</v>
      </c>
      <c r="U244" s="19" t="s">
        <v>70</v>
      </c>
      <c r="V244" s="19" t="s">
        <v>71</v>
      </c>
      <c r="W244" s="19" t="s">
        <v>72</v>
      </c>
      <c r="X244" s="19"/>
      <c r="Y244" s="19"/>
      <c r="Z244" s="19"/>
      <c r="AA244" s="19">
        <v>0</v>
      </c>
      <c r="AB244" s="19"/>
      <c r="AC244" s="19" t="s">
        <v>103</v>
      </c>
      <c r="AD244" s="19"/>
      <c r="AE244" s="19"/>
      <c r="AF244" s="19"/>
    </row>
    <row r="245" spans="1:34">
      <c r="A245" s="19">
        <v>237</v>
      </c>
      <c r="B245" s="19" t="s">
        <v>907</v>
      </c>
      <c r="C245" s="19" t="s">
        <v>1302</v>
      </c>
      <c r="D245" s="19" t="str">
        <f>HYPERLINK("http://henontech.com/fieldsafety/harzard/harzard_show.php?rid=3670&amp;url=harzardrecs.php","MVR南侧墙体，墙皮风化亀裂往下掉水泥块，操作工在经过下方时，被掉落的水泥块砸伤，休息片刻后继续工作。")</f>
        <v>MVR南侧墙体，墙皮风化亀裂往下掉水泥块，操作工在经过下方时，被掉落的水泥块砸伤，休息片刻后继续工作。</v>
      </c>
      <c r="E245" s="19" t="s">
        <v>1303</v>
      </c>
      <c r="F245" s="20" t="s">
        <v>42</v>
      </c>
      <c r="G245" s="22" t="s">
        <v>64</v>
      </c>
      <c r="H245" s="19" t="s">
        <v>44</v>
      </c>
      <c r="I245" s="19" t="s">
        <v>97</v>
      </c>
      <c r="J245" s="19" t="s">
        <v>182</v>
      </c>
      <c r="K245" s="19" t="s">
        <v>98</v>
      </c>
      <c r="L245" s="19"/>
      <c r="M245" s="19" t="s">
        <v>334</v>
      </c>
      <c r="N245" s="19" t="s">
        <v>488</v>
      </c>
      <c r="O245" s="19" t="s">
        <v>334</v>
      </c>
      <c r="P245" s="19" t="s">
        <v>346</v>
      </c>
      <c r="Q245" s="19" t="s">
        <v>888</v>
      </c>
      <c r="R245" s="19" t="s">
        <v>1304</v>
      </c>
      <c r="S245" s="19"/>
      <c r="T245" s="19" t="s">
        <v>52</v>
      </c>
      <c r="U245" s="19" t="s">
        <v>70</v>
      </c>
      <c r="V245" s="19" t="s">
        <v>71</v>
      </c>
      <c r="W245" s="19" t="s">
        <v>72</v>
      </c>
      <c r="X245" s="19"/>
      <c r="Y245" s="19"/>
      <c r="Z245" s="19" t="s">
        <v>1305</v>
      </c>
      <c r="AA245" s="19">
        <v>1</v>
      </c>
      <c r="AB245" s="19">
        <v>1</v>
      </c>
      <c r="AC245" s="19" t="s">
        <v>58</v>
      </c>
      <c r="AD245" s="19" t="s">
        <v>346</v>
      </c>
      <c r="AE245" s="19" t="s">
        <v>960</v>
      </c>
      <c r="AF245" s="19"/>
    </row>
    <row r="246" spans="1:34">
      <c r="A246" s="19">
        <v>238</v>
      </c>
      <c r="B246" s="19" t="s">
        <v>907</v>
      </c>
      <c r="C246" s="19" t="s">
        <v>1306</v>
      </c>
      <c r="D246" s="19" t="str">
        <f>HYPERLINK("http://henontech.com/fieldsafety/harzard/harzard_show.php?rid=3671&amp;url=harzardrecs.php","煤棚顶部通风口因大风致其损坏脱落，致使一操作工左肩骨折，住院治疗半个月，在家休养2个月后复工")</f>
        <v>煤棚顶部通风口因大风致其损坏脱落，致使一操作工左肩骨折，住院治疗半个月，在家休养2个月后复工</v>
      </c>
      <c r="E246" s="19" t="s">
        <v>1307</v>
      </c>
      <c r="F246" s="20" t="s">
        <v>42</v>
      </c>
      <c r="G246" s="22" t="s">
        <v>64</v>
      </c>
      <c r="H246" s="19" t="s">
        <v>44</v>
      </c>
      <c r="I246" s="19" t="s">
        <v>97</v>
      </c>
      <c r="J246" s="19" t="s">
        <v>45</v>
      </c>
      <c r="K246" s="19" t="s">
        <v>176</v>
      </c>
      <c r="L246" s="19" t="s">
        <v>99</v>
      </c>
      <c r="M246" s="19" t="s">
        <v>334</v>
      </c>
      <c r="N246" s="19" t="s">
        <v>1308</v>
      </c>
      <c r="O246" s="19" t="s">
        <v>334</v>
      </c>
      <c r="P246" s="19" t="s">
        <v>346</v>
      </c>
      <c r="Q246" s="19" t="s">
        <v>888</v>
      </c>
      <c r="R246" s="19" t="s">
        <v>1309</v>
      </c>
      <c r="S246" s="19"/>
      <c r="T246" s="19" t="s">
        <v>52</v>
      </c>
      <c r="U246" s="19" t="s">
        <v>89</v>
      </c>
      <c r="V246" s="19" t="s">
        <v>54</v>
      </c>
      <c r="W246" s="19" t="s">
        <v>72</v>
      </c>
      <c r="X246" s="19"/>
      <c r="Y246" s="19"/>
      <c r="Z246" s="19" t="s">
        <v>1310</v>
      </c>
      <c r="AA246" s="19">
        <v>1</v>
      </c>
      <c r="AB246" s="19">
        <v>1</v>
      </c>
      <c r="AC246" s="19" t="s">
        <v>58</v>
      </c>
      <c r="AD246" s="19" t="s">
        <v>346</v>
      </c>
      <c r="AE246" s="19" t="s">
        <v>823</v>
      </c>
      <c r="AF246" s="19"/>
    </row>
    <row r="247" spans="1:34">
      <c r="A247" s="19">
        <v>239</v>
      </c>
      <c r="B247" s="19" t="s">
        <v>907</v>
      </c>
      <c r="C247" s="19" t="s">
        <v>815</v>
      </c>
      <c r="D247" s="19" t="str">
        <f>HYPERLINK("http://henontech.com/fieldsafety/harzard/harzard_show.php?rid=3672&amp;url=harzardrecs.php","两盐南侧大门脱轨滑落，斜靠在门外墙体上，大风天气，操作工被刮倒的大门砸伤腿部，腿部骨折，送往医院治疗，一个月后康复出院。")</f>
        <v>两盐南侧大门脱轨滑落，斜靠在门外墙体上，大风天气，操作工被刮倒的大门砸伤腿部，腿部骨折，送往医院治疗，一个月后康复出院。</v>
      </c>
      <c r="E247" s="19" t="s">
        <v>1311</v>
      </c>
      <c r="F247" s="20" t="s">
        <v>42</v>
      </c>
      <c r="G247" s="22" t="s">
        <v>64</v>
      </c>
      <c r="H247" s="19" t="s">
        <v>44</v>
      </c>
      <c r="I247" s="19" t="s">
        <v>97</v>
      </c>
      <c r="J247" s="19" t="s">
        <v>182</v>
      </c>
      <c r="K247" s="19" t="s">
        <v>98</v>
      </c>
      <c r="L247" s="19"/>
      <c r="M247" s="19" t="s">
        <v>334</v>
      </c>
      <c r="N247" s="19" t="s">
        <v>1312</v>
      </c>
      <c r="O247" s="19" t="s">
        <v>334</v>
      </c>
      <c r="P247" s="19" t="s">
        <v>346</v>
      </c>
      <c r="Q247" s="19" t="s">
        <v>888</v>
      </c>
      <c r="R247" s="19" t="s">
        <v>1313</v>
      </c>
      <c r="S247" s="19"/>
      <c r="T247" s="19" t="s">
        <v>52</v>
      </c>
      <c r="U247" s="19" t="s">
        <v>89</v>
      </c>
      <c r="V247" s="19" t="s">
        <v>71</v>
      </c>
      <c r="W247" s="19" t="s">
        <v>55</v>
      </c>
      <c r="X247" s="19"/>
      <c r="Y247" s="19"/>
      <c r="Z247" s="19" t="s">
        <v>1314</v>
      </c>
      <c r="AA247" s="19">
        <v>1</v>
      </c>
      <c r="AB247" s="19">
        <v>1</v>
      </c>
      <c r="AC247" s="19" t="s">
        <v>58</v>
      </c>
      <c r="AD247" s="19" t="s">
        <v>346</v>
      </c>
      <c r="AE247" s="19" t="s">
        <v>751</v>
      </c>
      <c r="AF247" s="19"/>
    </row>
    <row r="248" spans="1:34" customHeight="1" ht="42">
      <c r="A248" s="19">
        <v>240</v>
      </c>
      <c r="B248" s="19" t="s">
        <v>907</v>
      </c>
      <c r="C248" s="19" t="s">
        <v>563</v>
      </c>
      <c r="D248" s="19" t="str">
        <f>HYPERLINK("http://henontech.com/fieldsafety/harzard/harzard_show.php?rid=3673&amp;url=harzardrecs.php","东四一号称刮煤板配重铁开焊，操作工在巡检时经过，砸伤脚面，造成人员伤害。")</f>
        <v>东四一号称刮煤板配重铁开焊，操作工在巡检时经过，砸伤脚面，造成人员伤害。</v>
      </c>
      <c r="E248" s="19" t="s">
        <v>1315</v>
      </c>
      <c r="F248" s="20" t="s">
        <v>42</v>
      </c>
      <c r="G248" s="22" t="s">
        <v>64</v>
      </c>
      <c r="H248" s="19" t="s">
        <v>44</v>
      </c>
      <c r="I248" s="19" t="s">
        <v>119</v>
      </c>
      <c r="J248" s="19" t="s">
        <v>45</v>
      </c>
      <c r="K248" s="19" t="s">
        <v>98</v>
      </c>
      <c r="L248" s="19" t="s">
        <v>99</v>
      </c>
      <c r="M248" s="19" t="s">
        <v>565</v>
      </c>
      <c r="N248" s="19" t="s">
        <v>1316</v>
      </c>
      <c r="O248" s="19" t="s">
        <v>565</v>
      </c>
      <c r="P248" s="19" t="s">
        <v>633</v>
      </c>
      <c r="Q248" s="19" t="s">
        <v>732</v>
      </c>
      <c r="R248" s="19" t="s">
        <v>1317</v>
      </c>
      <c r="S248" s="19"/>
      <c r="T248" s="19" t="s">
        <v>52</v>
      </c>
      <c r="U248" s="19" t="s">
        <v>89</v>
      </c>
      <c r="V248" s="19" t="s">
        <v>71</v>
      </c>
      <c r="W248" s="19" t="s">
        <v>55</v>
      </c>
      <c r="X248" s="19" t="s">
        <v>73</v>
      </c>
      <c r="Y248" s="19" t="s">
        <v>73</v>
      </c>
      <c r="Z248" s="19" t="s">
        <v>1318</v>
      </c>
      <c r="AA248" s="19">
        <v>2</v>
      </c>
      <c r="AB248" s="19">
        <v>2</v>
      </c>
      <c r="AC248" s="19" t="s">
        <v>58</v>
      </c>
      <c r="AD248" s="19" t="s">
        <v>633</v>
      </c>
      <c r="AE248" s="19" t="s">
        <v>1012</v>
      </c>
      <c r="AF248" s="19"/>
    </row>
    <row r="249" spans="1:34">
      <c r="A249" s="19">
        <v>241</v>
      </c>
      <c r="B249" s="19" t="s">
        <v>907</v>
      </c>
      <c r="C249" s="19" t="s">
        <v>741</v>
      </c>
      <c r="D249" s="19" t="str">
        <f>HYPERLINK("http://henontech.com/fieldsafety/harzard/harzard_show.php?rid=3674&amp;url=harzardrecs.php","西硫铵卸酸槽护栏门损坏，外来人员卸酸时不慎摔倒跌入深3米卸酸低位槽，安全帽未佩戴规范，造成左胳膊骨折，左侧肋骨骨折3根，送医后住院治疗1个月！限工2月！，")</f>
        <v>西硫铵卸酸槽护栏门损坏，外来人员卸酸时不慎摔倒跌入深3米卸酸低位槽，安全帽未佩戴规范，造成左胳膊骨折，左侧肋骨骨折3根，送医后住院治疗1个月！限工2月！，</v>
      </c>
      <c r="E249" s="19" t="s">
        <v>1319</v>
      </c>
      <c r="F249" s="20" t="s">
        <v>42</v>
      </c>
      <c r="G249" s="22" t="s">
        <v>64</v>
      </c>
      <c r="H249" s="19" t="s">
        <v>44</v>
      </c>
      <c r="I249" s="19" t="s">
        <v>97</v>
      </c>
      <c r="J249" s="19" t="s">
        <v>182</v>
      </c>
      <c r="K249" s="19" t="s">
        <v>98</v>
      </c>
      <c r="L249" s="19" t="s">
        <v>99</v>
      </c>
      <c r="M249" s="19" t="s">
        <v>334</v>
      </c>
      <c r="N249" s="19" t="s">
        <v>1320</v>
      </c>
      <c r="O249" s="19" t="s">
        <v>334</v>
      </c>
      <c r="P249" s="19" t="s">
        <v>346</v>
      </c>
      <c r="Q249" s="19" t="s">
        <v>888</v>
      </c>
      <c r="R249" s="19" t="s">
        <v>1321</v>
      </c>
      <c r="S249" s="19"/>
      <c r="T249" s="19" t="s">
        <v>52</v>
      </c>
      <c r="U249" s="19" t="s">
        <v>89</v>
      </c>
      <c r="V249" s="19" t="s">
        <v>54</v>
      </c>
      <c r="W249" s="19" t="s">
        <v>72</v>
      </c>
      <c r="X249" s="19"/>
      <c r="Y249" s="19"/>
      <c r="Z249" s="19" t="s">
        <v>1322</v>
      </c>
      <c r="AA249" s="19">
        <v>1</v>
      </c>
      <c r="AB249" s="19">
        <v>1</v>
      </c>
      <c r="AC249" s="19" t="s">
        <v>58</v>
      </c>
      <c r="AD249" s="19" t="s">
        <v>346</v>
      </c>
      <c r="AE249" s="19" t="s">
        <v>751</v>
      </c>
      <c r="AF249" s="19"/>
    </row>
    <row r="250" spans="1:34" customHeight="1" ht="42">
      <c r="A250" s="19">
        <v>242</v>
      </c>
      <c r="B250" s="19" t="s">
        <v>907</v>
      </c>
      <c r="C250" s="19" t="s">
        <v>1323</v>
      </c>
      <c r="D250" s="19" t="str">
        <f>HYPERLINK("http://henontech.com/fieldsafety/harzard/harzard_show.php?rid=3675&amp;url=harzardrecs.php","20米高的彩钢瓦开裂松动未固定，受风力、震动等环境因素影响,造成彩钢瓦坠落，受高处坠落的冲击力，巡检人员从此经过砸到头部死亡。")</f>
        <v>20米高的彩钢瓦开裂松动未固定，受风力、震动等环境因素影响,造成彩钢瓦坠落，受高处坠落的冲击力，巡检人员从此经过砸到头部死亡。</v>
      </c>
      <c r="E250" s="19" t="s">
        <v>1324</v>
      </c>
      <c r="F250" s="25" t="s">
        <v>828</v>
      </c>
      <c r="G250" s="22" t="s">
        <v>64</v>
      </c>
      <c r="H250" s="19" t="s">
        <v>44</v>
      </c>
      <c r="I250" s="19" t="s">
        <v>97</v>
      </c>
      <c r="J250" s="19" t="s">
        <v>527</v>
      </c>
      <c r="K250" s="19" t="s">
        <v>108</v>
      </c>
      <c r="L250" s="19" t="s">
        <v>142</v>
      </c>
      <c r="M250" s="19" t="s">
        <v>46</v>
      </c>
      <c r="N250" s="19" t="s">
        <v>1325</v>
      </c>
      <c r="O250" s="19" t="s">
        <v>46</v>
      </c>
      <c r="P250" s="19" t="s">
        <v>178</v>
      </c>
      <c r="Q250" s="19" t="s">
        <v>1326</v>
      </c>
      <c r="R250" s="19" t="s">
        <v>1327</v>
      </c>
      <c r="S250" s="19"/>
      <c r="T250" s="19" t="s">
        <v>52</v>
      </c>
      <c r="U250" s="19" t="s">
        <v>53</v>
      </c>
      <c r="V250" s="19" t="s">
        <v>71</v>
      </c>
      <c r="W250" s="19" t="s">
        <v>116</v>
      </c>
      <c r="X250" s="19" t="s">
        <v>90</v>
      </c>
      <c r="Y250" s="19"/>
      <c r="Z250" s="19" t="s">
        <v>1328</v>
      </c>
      <c r="AA250" s="19">
        <v>2</v>
      </c>
      <c r="AB250" s="19"/>
      <c r="AC250" s="19" t="s">
        <v>103</v>
      </c>
      <c r="AD250" s="19"/>
      <c r="AE250" s="19"/>
      <c r="AF250" s="19"/>
    </row>
    <row r="251" spans="1:34">
      <c r="A251" s="19">
        <v>243</v>
      </c>
      <c r="B251" s="19" t="s">
        <v>907</v>
      </c>
      <c r="C251" s="19" t="s">
        <v>821</v>
      </c>
      <c r="D251" s="19" t="str">
        <f>HYPERLINK("http://henontech.com/fieldsafety/harzard/harzard_show.php?rid=3676&amp;url=harzardrecs.php","初冷器一层平台竖梯4m高没有护笼，如果操作工上爬梯时坠落，左小腿骨折，住院治疗一月回家休息两月，损工三个月。")</f>
        <v>初冷器一层平台竖梯4m高没有护笼，如果操作工上爬梯时坠落，左小腿骨折，住院治疗一月回家休息两月，损工三个月。</v>
      </c>
      <c r="E251" s="19" t="s">
        <v>1329</v>
      </c>
      <c r="F251" s="20" t="s">
        <v>42</v>
      </c>
      <c r="G251" s="22" t="s">
        <v>64</v>
      </c>
      <c r="H251" s="19" t="s">
        <v>44</v>
      </c>
      <c r="I251" s="19" t="s">
        <v>119</v>
      </c>
      <c r="J251" s="19" t="s">
        <v>45</v>
      </c>
      <c r="K251" s="19" t="s">
        <v>108</v>
      </c>
      <c r="L251" s="19"/>
      <c r="M251" s="19" t="s">
        <v>334</v>
      </c>
      <c r="N251" s="19" t="s">
        <v>449</v>
      </c>
      <c r="O251" s="19" t="s">
        <v>334</v>
      </c>
      <c r="P251" s="19" t="s">
        <v>346</v>
      </c>
      <c r="Q251" s="19" t="s">
        <v>888</v>
      </c>
      <c r="R251" s="19" t="s">
        <v>1330</v>
      </c>
      <c r="S251" s="19"/>
      <c r="T251" s="19" t="s">
        <v>52</v>
      </c>
      <c r="U251" s="19" t="s">
        <v>89</v>
      </c>
      <c r="V251" s="19" t="s">
        <v>71</v>
      </c>
      <c r="W251" s="19" t="s">
        <v>55</v>
      </c>
      <c r="X251" s="19"/>
      <c r="Y251" s="19"/>
      <c r="Z251" s="19" t="s">
        <v>1331</v>
      </c>
      <c r="AA251" s="19">
        <v>1</v>
      </c>
      <c r="AB251" s="19">
        <v>1</v>
      </c>
      <c r="AC251" s="19" t="s">
        <v>58</v>
      </c>
      <c r="AD251" s="19" t="s">
        <v>346</v>
      </c>
      <c r="AE251" s="19" t="s">
        <v>751</v>
      </c>
      <c r="AF251" s="19"/>
    </row>
    <row r="252" spans="1:34" customHeight="1" ht="42">
      <c r="A252" s="19">
        <v>244</v>
      </c>
      <c r="B252" s="19" t="s">
        <v>907</v>
      </c>
      <c r="C252" s="19" t="s">
        <v>826</v>
      </c>
      <c r="D252" s="19" t="str">
        <f>HYPERLINK("http://henontech.com/fieldsafety/harzard/harzard_show.php?rid=3679&amp;url=harzardrecs.php","机侧1号负压管道下方照明灯安装过低，假如送煤车行走时一名职工恰好站在照明灯下部位置，头部撞在照明灯上。")</f>
        <v>机侧1号负压管道下方照明灯安装过低，假如送煤车行走时一名职工恰好站在照明灯下部位置，头部撞在照明灯上。</v>
      </c>
      <c r="E252" s="19" t="s">
        <v>1332</v>
      </c>
      <c r="F252" s="25" t="s">
        <v>828</v>
      </c>
      <c r="G252" s="22" t="s">
        <v>64</v>
      </c>
      <c r="H252" s="19" t="s">
        <v>44</v>
      </c>
      <c r="I252" s="19" t="s">
        <v>97</v>
      </c>
      <c r="J252" s="19" t="s">
        <v>45</v>
      </c>
      <c r="K252" s="19" t="s">
        <v>108</v>
      </c>
      <c r="L252" s="19" t="s">
        <v>99</v>
      </c>
      <c r="M252" s="19" t="s">
        <v>46</v>
      </c>
      <c r="N252" s="19" t="s">
        <v>225</v>
      </c>
      <c r="O252" s="19" t="s">
        <v>46</v>
      </c>
      <c r="P252" s="19" t="s">
        <v>219</v>
      </c>
      <c r="Q252" s="19" t="s">
        <v>1166</v>
      </c>
      <c r="R252" s="19" t="s">
        <v>1333</v>
      </c>
      <c r="S252" s="19"/>
      <c r="T252" s="19" t="s">
        <v>52</v>
      </c>
      <c r="U252" s="19" t="s">
        <v>89</v>
      </c>
      <c r="V252" s="19" t="s">
        <v>71</v>
      </c>
      <c r="W252" s="19" t="s">
        <v>55</v>
      </c>
      <c r="X252" s="19" t="s">
        <v>90</v>
      </c>
      <c r="Y252" s="19"/>
      <c r="Z252" s="19" t="s">
        <v>1334</v>
      </c>
      <c r="AA252" s="19">
        <v>2</v>
      </c>
      <c r="AB252" s="19"/>
      <c r="AC252" s="19" t="s">
        <v>103</v>
      </c>
      <c r="AD252" s="19"/>
      <c r="AE252" s="19"/>
      <c r="AF252" s="19"/>
    </row>
    <row r="253" spans="1:34">
      <c r="A253" s="19">
        <v>245</v>
      </c>
      <c r="B253" s="19" t="s">
        <v>907</v>
      </c>
      <c r="C253" s="19" t="s">
        <v>563</v>
      </c>
      <c r="D253" s="19" t="str">
        <f>HYPERLINK("http://henontech.com/fieldsafety/harzard/harzard_show.php?rid=3683&amp;url=harzardrecs.php","一名操作工擦拭灯罩未设监护人扶梯子，独自一人踩梯子作业，擦拭中身体转动时梯子滑倒，身体跌落地面，送医院检查：右脚脚踝扭伤，住院5天，在家休养1个月")</f>
        <v>一名操作工擦拭灯罩未设监护人扶梯子，独自一人踩梯子作业，擦拭中身体转动时梯子滑倒，身体跌落地面，送医院检查：右脚脚踝扭伤，住院5天，在家休养1个月</v>
      </c>
      <c r="E253" s="19" t="s">
        <v>1335</v>
      </c>
      <c r="F253" s="20" t="s">
        <v>42</v>
      </c>
      <c r="G253" s="22" t="s">
        <v>64</v>
      </c>
      <c r="H253" s="19" t="s">
        <v>44</v>
      </c>
      <c r="I253" s="19" t="s">
        <v>119</v>
      </c>
      <c r="J253" s="19"/>
      <c r="K253" s="19"/>
      <c r="L253" s="19" t="s">
        <v>99</v>
      </c>
      <c r="M253" s="19" t="s">
        <v>565</v>
      </c>
      <c r="N253" s="19" t="s">
        <v>1336</v>
      </c>
      <c r="O253" s="19" t="s">
        <v>565</v>
      </c>
      <c r="P253" s="19" t="s">
        <v>566</v>
      </c>
      <c r="Q253" s="19" t="s">
        <v>1169</v>
      </c>
      <c r="R253" s="19" t="s">
        <v>1317</v>
      </c>
      <c r="S253" s="19"/>
      <c r="T253" s="19" t="s">
        <v>52</v>
      </c>
      <c r="U253" s="19" t="s">
        <v>89</v>
      </c>
      <c r="V253" s="19" t="s">
        <v>71</v>
      </c>
      <c r="W253" s="19" t="s">
        <v>55</v>
      </c>
      <c r="X253" s="19"/>
      <c r="Y253" s="19"/>
      <c r="Z253" s="19" t="s">
        <v>1337</v>
      </c>
      <c r="AA253" s="19">
        <v>1</v>
      </c>
      <c r="AB253" s="19">
        <v>1</v>
      </c>
      <c r="AC253" s="19" t="s">
        <v>58</v>
      </c>
      <c r="AD253" s="19" t="s">
        <v>566</v>
      </c>
      <c r="AE253" s="19" t="s">
        <v>960</v>
      </c>
      <c r="AF253" s="19"/>
    </row>
    <row r="254" spans="1:34">
      <c r="A254" s="19">
        <v>246</v>
      </c>
      <c r="B254" s="19" t="s">
        <v>907</v>
      </c>
      <c r="C254" s="19" t="s">
        <v>578</v>
      </c>
      <c r="D254" s="19" t="str">
        <f>HYPERLINK("http://henontech.com/fieldsafety/harzard/harzard_show.php?rid=3685&amp;url=harzardrecs.php","操作工在清理完西五下料筒观察孔内积煤时，用完的钎子放在平台顶部，在下料筒振动电机的使用中，一旦钎子随着振动坠落砸伤巡检人员身上，造成该员工右肩软组织损伤，在家休养3天康复。")</f>
        <v>操作工在清理完西五下料筒观察孔内积煤时，用完的钎子放在平台顶部，在下料筒振动电机的使用中，一旦钎子随着振动坠落砸伤巡检人员身上，造成该员工右肩软组织损伤，在家休养3天康复。</v>
      </c>
      <c r="E254" s="19" t="s">
        <v>1338</v>
      </c>
      <c r="F254" s="20" t="s">
        <v>42</v>
      </c>
      <c r="G254" s="22" t="s">
        <v>64</v>
      </c>
      <c r="H254" s="19" t="s">
        <v>44</v>
      </c>
      <c r="I254" s="19" t="s">
        <v>119</v>
      </c>
      <c r="J254" s="19"/>
      <c r="K254" s="19"/>
      <c r="L254" s="19" t="s">
        <v>99</v>
      </c>
      <c r="M254" s="19" t="s">
        <v>565</v>
      </c>
      <c r="N254" s="19" t="s">
        <v>1339</v>
      </c>
      <c r="O254" s="19" t="s">
        <v>565</v>
      </c>
      <c r="P254" s="19" t="s">
        <v>566</v>
      </c>
      <c r="Q254" s="19" t="s">
        <v>1169</v>
      </c>
      <c r="R254" s="19" t="s">
        <v>1340</v>
      </c>
      <c r="S254" s="19"/>
      <c r="T254" s="19" t="s">
        <v>52</v>
      </c>
      <c r="U254" s="19" t="s">
        <v>89</v>
      </c>
      <c r="V254" s="19" t="s">
        <v>71</v>
      </c>
      <c r="W254" s="19" t="s">
        <v>55</v>
      </c>
      <c r="X254" s="19"/>
      <c r="Y254" s="19"/>
      <c r="Z254" s="19" t="s">
        <v>1341</v>
      </c>
      <c r="AA254" s="19">
        <v>1</v>
      </c>
      <c r="AB254" s="19">
        <v>1</v>
      </c>
      <c r="AC254" s="19" t="s">
        <v>58</v>
      </c>
      <c r="AD254" s="19" t="s">
        <v>566</v>
      </c>
      <c r="AE254" s="19" t="s">
        <v>960</v>
      </c>
      <c r="AF254" s="19"/>
    </row>
    <row r="255" spans="1:34">
      <c r="A255" s="19">
        <v>247</v>
      </c>
      <c r="B255" s="19" t="s">
        <v>907</v>
      </c>
      <c r="C255" s="19" t="s">
        <v>586</v>
      </c>
      <c r="D255" s="19" t="str">
        <f>HYPERLINK("http://henontech.com/fieldsafety/harzard/harzard_show.php?rid=3686&amp;url=harzardrecs.php","皮带机护栏套管缺失，一职工在清理皮带机卫生时用小拖把擦拭护栏，拖把不慎卷入滚筒，被拖把杆打伤手臂，造成损工事故")</f>
        <v>皮带机护栏套管缺失，一职工在清理皮带机卫生时用小拖把擦拭护栏，拖把不慎卷入滚筒，被拖把杆打伤手臂，造成损工事故</v>
      </c>
      <c r="E255" s="19" t="s">
        <v>1342</v>
      </c>
      <c r="F255" s="20" t="s">
        <v>42</v>
      </c>
      <c r="G255" s="22" t="s">
        <v>64</v>
      </c>
      <c r="H255" s="19" t="s">
        <v>44</v>
      </c>
      <c r="I255" s="19" t="s">
        <v>119</v>
      </c>
      <c r="J255" s="19" t="s">
        <v>45</v>
      </c>
      <c r="K255" s="19" t="s">
        <v>170</v>
      </c>
      <c r="L255" s="19" t="s">
        <v>99</v>
      </c>
      <c r="M255" s="19" t="s">
        <v>565</v>
      </c>
      <c r="N255" s="19" t="s">
        <v>1343</v>
      </c>
      <c r="O255" s="19" t="s">
        <v>565</v>
      </c>
      <c r="P255" s="19" t="s">
        <v>566</v>
      </c>
      <c r="Q255" s="19" t="s">
        <v>1169</v>
      </c>
      <c r="R255" s="19" t="s">
        <v>1344</v>
      </c>
      <c r="S255" s="19"/>
      <c r="T255" s="19" t="s">
        <v>52</v>
      </c>
      <c r="U255" s="19" t="s">
        <v>89</v>
      </c>
      <c r="V255" s="19" t="s">
        <v>71</v>
      </c>
      <c r="W255" s="19" t="s">
        <v>55</v>
      </c>
      <c r="X255" s="19"/>
      <c r="Y255" s="19"/>
      <c r="Z255" s="19" t="s">
        <v>1345</v>
      </c>
      <c r="AA255" s="19">
        <v>1</v>
      </c>
      <c r="AB255" s="19">
        <v>1</v>
      </c>
      <c r="AC255" s="19" t="s">
        <v>58</v>
      </c>
      <c r="AD255" s="19" t="s">
        <v>566</v>
      </c>
      <c r="AE255" s="19" t="s">
        <v>960</v>
      </c>
      <c r="AF255" s="19"/>
    </row>
    <row r="256" spans="1:34" customHeight="1" ht="42">
      <c r="A256" s="19">
        <v>248</v>
      </c>
      <c r="B256" s="19" t="s">
        <v>812</v>
      </c>
      <c r="C256" s="19" t="s">
        <v>909</v>
      </c>
      <c r="D256" s="19" t="str">
        <f>HYPERLINK("http://henontech.com/fieldsafety/harzard/harzard_show.php?rid=3687&amp;url=harzardrecs.php","操作人员开煤气放散阀门时因未安装平台，不慎从高处坠落。")</f>
        <v>操作人员开煤气放散阀门时因未安装平台，不慎从高处坠落。</v>
      </c>
      <c r="E256" s="19" t="s">
        <v>1346</v>
      </c>
      <c r="F256" s="20" t="s">
        <v>42</v>
      </c>
      <c r="G256" s="22" t="s">
        <v>64</v>
      </c>
      <c r="H256" s="19" t="s">
        <v>44</v>
      </c>
      <c r="I256" s="19" t="s">
        <v>97</v>
      </c>
      <c r="J256" s="19" t="s">
        <v>45</v>
      </c>
      <c r="K256" s="19" t="s">
        <v>108</v>
      </c>
      <c r="L256" s="19" t="s">
        <v>99</v>
      </c>
      <c r="M256" s="19" t="s">
        <v>663</v>
      </c>
      <c r="N256" s="19" t="s">
        <v>1347</v>
      </c>
      <c r="O256" s="19" t="s">
        <v>663</v>
      </c>
      <c r="P256" s="19" t="s">
        <v>664</v>
      </c>
      <c r="Q256" s="19" t="s">
        <v>888</v>
      </c>
      <c r="R256" s="19" t="s">
        <v>909</v>
      </c>
      <c r="S256" s="19"/>
      <c r="T256" s="19" t="s">
        <v>52</v>
      </c>
      <c r="U256" s="19" t="s">
        <v>89</v>
      </c>
      <c r="V256" s="19" t="s">
        <v>71</v>
      </c>
      <c r="W256" s="19" t="s">
        <v>55</v>
      </c>
      <c r="X256" s="19"/>
      <c r="Y256" s="19"/>
      <c r="Z256" s="19" t="s">
        <v>1348</v>
      </c>
      <c r="AA256" s="19">
        <v>2</v>
      </c>
      <c r="AB256" s="19">
        <v>2</v>
      </c>
      <c r="AC256" s="19" t="s">
        <v>58</v>
      </c>
      <c r="AD256" s="19" t="s">
        <v>664</v>
      </c>
      <c r="AE256" s="19" t="s">
        <v>932</v>
      </c>
      <c r="AF256" s="19"/>
    </row>
    <row r="257" spans="1:34">
      <c r="A257" s="19">
        <v>249</v>
      </c>
      <c r="B257" s="19" t="s">
        <v>812</v>
      </c>
      <c r="C257" s="19" t="s">
        <v>789</v>
      </c>
      <c r="D257" s="19" t="str">
        <f>HYPERLINK("http://henontech.com/fieldsafety/harzard/harzard_show.php?rid=3690&amp;url=harzardrecs.php","深度处理加药间盐酸压力表前活节垫子坏漏液，如果不及时处理泵子开启，操作人员巡检经过会造成人员被盐酸轻微灼伤事故，损工三天。")</f>
        <v>深度处理加药间盐酸压力表前活节垫子坏漏液，如果不及时处理泵子开启，操作人员巡检经过会造成人员被盐酸轻微灼伤事故，损工三天。</v>
      </c>
      <c r="E257" s="19" t="s">
        <v>1349</v>
      </c>
      <c r="F257" s="20" t="s">
        <v>42</v>
      </c>
      <c r="G257" s="22" t="s">
        <v>64</v>
      </c>
      <c r="H257" s="19" t="s">
        <v>44</v>
      </c>
      <c r="I257" s="19"/>
      <c r="J257" s="19" t="s">
        <v>45</v>
      </c>
      <c r="K257" s="19"/>
      <c r="L257" s="19"/>
      <c r="M257" s="19" t="s">
        <v>232</v>
      </c>
      <c r="N257" s="19" t="s">
        <v>854</v>
      </c>
      <c r="O257" s="19" t="s">
        <v>232</v>
      </c>
      <c r="P257" s="19" t="s">
        <v>234</v>
      </c>
      <c r="Q257" s="19" t="s">
        <v>1350</v>
      </c>
      <c r="R257" s="19" t="s">
        <v>1351</v>
      </c>
      <c r="S257" s="19" t="s">
        <v>1352</v>
      </c>
      <c r="T257" s="19" t="s">
        <v>52</v>
      </c>
      <c r="U257" s="19" t="s">
        <v>89</v>
      </c>
      <c r="V257" s="19" t="s">
        <v>71</v>
      </c>
      <c r="W257" s="19" t="s">
        <v>55</v>
      </c>
      <c r="X257" s="19" t="s">
        <v>73</v>
      </c>
      <c r="Y257" s="19" t="s">
        <v>73</v>
      </c>
      <c r="Z257" s="19" t="s">
        <v>985</v>
      </c>
      <c r="AA257" s="19">
        <v>1</v>
      </c>
      <c r="AB257" s="19">
        <v>1</v>
      </c>
      <c r="AC257" s="19" t="s">
        <v>58</v>
      </c>
      <c r="AD257" s="19" t="s">
        <v>234</v>
      </c>
      <c r="AE257" s="19" t="s">
        <v>773</v>
      </c>
      <c r="AF257" s="19"/>
    </row>
    <row r="258" spans="1:34" customHeight="1" ht="42">
      <c r="A258" s="19">
        <v>250</v>
      </c>
      <c r="B258" s="19" t="s">
        <v>823</v>
      </c>
      <c r="C258" s="19" t="s">
        <v>586</v>
      </c>
      <c r="D258" s="19" t="str">
        <f>HYPERLINK("http://henontech.com/fieldsafety/harzard/harzard_show.php?rid=3691&amp;url=harzardrecs.php","一行人经过此处时，下料筒上方一坠落物掉落砸中头部，有安全帽防护未造成人员伤害。")</f>
        <v>一行人经过此处时，下料筒上方一坠落物掉落砸中头部，有安全帽防护未造成人员伤害。</v>
      </c>
      <c r="E258" s="19" t="s">
        <v>1353</v>
      </c>
      <c r="F258" s="20" t="s">
        <v>42</v>
      </c>
      <c r="G258" s="21" t="s">
        <v>43</v>
      </c>
      <c r="H258" s="19" t="s">
        <v>44</v>
      </c>
      <c r="I258" s="19" t="s">
        <v>97</v>
      </c>
      <c r="J258" s="19" t="s">
        <v>45</v>
      </c>
      <c r="K258" s="19" t="s">
        <v>108</v>
      </c>
      <c r="L258" s="19"/>
      <c r="M258" s="19" t="s">
        <v>565</v>
      </c>
      <c r="N258" s="19" t="s">
        <v>1354</v>
      </c>
      <c r="O258" s="19" t="s">
        <v>565</v>
      </c>
      <c r="P258" s="19" t="s">
        <v>633</v>
      </c>
      <c r="Q258" s="19" t="s">
        <v>965</v>
      </c>
      <c r="R258" s="19" t="s">
        <v>1355</v>
      </c>
      <c r="S258" s="19"/>
      <c r="T258" s="19" t="s">
        <v>52</v>
      </c>
      <c r="U258" s="19" t="s">
        <v>79</v>
      </c>
      <c r="V258" s="19" t="s">
        <v>124</v>
      </c>
      <c r="W258" s="19" t="s">
        <v>81</v>
      </c>
      <c r="X258" s="19" t="s">
        <v>323</v>
      </c>
      <c r="Y258" s="19" t="s">
        <v>323</v>
      </c>
      <c r="Z258" s="19" t="s">
        <v>1356</v>
      </c>
      <c r="AA258" s="19">
        <v>2</v>
      </c>
      <c r="AB258" s="19">
        <v>2</v>
      </c>
      <c r="AC258" s="19" t="s">
        <v>58</v>
      </c>
      <c r="AD258" s="19" t="s">
        <v>633</v>
      </c>
      <c r="AE258" s="19" t="s">
        <v>761</v>
      </c>
      <c r="AF258" s="19"/>
    </row>
    <row r="259" spans="1:34">
      <c r="A259" s="19">
        <v>251</v>
      </c>
      <c r="B259" s="19" t="s">
        <v>812</v>
      </c>
      <c r="C259" s="19" t="s">
        <v>590</v>
      </c>
      <c r="D259" s="19" t="str">
        <f>HYPERLINK("http://henontech.com/fieldsafety/harzard/harzard_show.php?rid=3693&amp;url=harzardrecs.php","南风机房西侧煤气管道改造现场有一管道未加固支撑点，如果施工人员从此处经过支撑点突然折断正好砸伤施工人员的右脚，造成右脚指粉碎性骨折，送医住院治疗一个月，在家休养五个月，共损工180多天。")</f>
        <v>南风机房西侧煤气管道改造现场有一管道未加固支撑点，如果施工人员从此处经过支撑点突然折断正好砸伤施工人员的右脚，造成右脚指粉碎性骨折，送医住院治疗一个月，在家休养五个月，共损工180多天。</v>
      </c>
      <c r="E259" s="19" t="s">
        <v>1357</v>
      </c>
      <c r="F259" s="20" t="s">
        <v>42</v>
      </c>
      <c r="G259" s="21" t="s">
        <v>43</v>
      </c>
      <c r="H259" s="19" t="s">
        <v>44</v>
      </c>
      <c r="I259" s="19"/>
      <c r="J259" s="19" t="s">
        <v>45</v>
      </c>
      <c r="K259" s="19" t="s">
        <v>176</v>
      </c>
      <c r="L259" s="19" t="s">
        <v>99</v>
      </c>
      <c r="M259" s="19" t="s">
        <v>334</v>
      </c>
      <c r="N259" s="19" t="s">
        <v>1358</v>
      </c>
      <c r="O259" s="19" t="s">
        <v>334</v>
      </c>
      <c r="P259" s="19" t="s">
        <v>346</v>
      </c>
      <c r="Q259" s="19" t="s">
        <v>888</v>
      </c>
      <c r="R259" s="19" t="s">
        <v>1359</v>
      </c>
      <c r="S259" s="19"/>
      <c r="T259" s="19" t="s">
        <v>52</v>
      </c>
      <c r="U259" s="19" t="s">
        <v>89</v>
      </c>
      <c r="V259" s="19" t="s">
        <v>71</v>
      </c>
      <c r="W259" s="19" t="s">
        <v>55</v>
      </c>
      <c r="X259" s="19"/>
      <c r="Y259" s="19"/>
      <c r="Z259" s="19" t="s">
        <v>1360</v>
      </c>
      <c r="AA259" s="19">
        <v>1</v>
      </c>
      <c r="AB259" s="19">
        <v>1</v>
      </c>
      <c r="AC259" s="19" t="s">
        <v>58</v>
      </c>
      <c r="AD259" s="19" t="s">
        <v>346</v>
      </c>
      <c r="AE259" s="19" t="s">
        <v>751</v>
      </c>
      <c r="AF259" s="19"/>
    </row>
    <row r="260" spans="1:34">
      <c r="A260" s="19">
        <v>252</v>
      </c>
      <c r="B260" s="19" t="s">
        <v>812</v>
      </c>
      <c r="C260" s="19" t="s">
        <v>586</v>
      </c>
      <c r="D260" s="19" t="str">
        <f>HYPERLINK("http://henontech.com/fieldsafety/harzard/harzard_show.php?rid=3694&amp;url=harzardrecs.php","7#水池盖板未盖严，一操作工在巡检时不慎右腿跌入擦伤，休息会继续工作。")</f>
        <v>7#水池盖板未盖严，一操作工在巡检时不慎右腿跌入擦伤，休息会继续工作。</v>
      </c>
      <c r="E260" s="19" t="s">
        <v>1361</v>
      </c>
      <c r="F260" s="20" t="s">
        <v>42</v>
      </c>
      <c r="G260" s="22" t="s">
        <v>64</v>
      </c>
      <c r="H260" s="19" t="s">
        <v>44</v>
      </c>
      <c r="I260" s="19" t="s">
        <v>119</v>
      </c>
      <c r="J260" s="19" t="s">
        <v>182</v>
      </c>
      <c r="K260" s="19" t="s">
        <v>108</v>
      </c>
      <c r="L260" s="19" t="s">
        <v>99</v>
      </c>
      <c r="M260" s="19" t="s">
        <v>565</v>
      </c>
      <c r="N260" s="19" t="s">
        <v>1362</v>
      </c>
      <c r="O260" s="19" t="s">
        <v>565</v>
      </c>
      <c r="P260" s="19" t="s">
        <v>566</v>
      </c>
      <c r="Q260" s="19" t="s">
        <v>1169</v>
      </c>
      <c r="R260" s="19" t="s">
        <v>1363</v>
      </c>
      <c r="S260" s="19"/>
      <c r="T260" s="19" t="s">
        <v>52</v>
      </c>
      <c r="U260" s="19" t="s">
        <v>70</v>
      </c>
      <c r="V260" s="19" t="s">
        <v>80</v>
      </c>
      <c r="W260" s="19" t="s">
        <v>55</v>
      </c>
      <c r="X260" s="19"/>
      <c r="Y260" s="19"/>
      <c r="Z260" s="19" t="s">
        <v>1364</v>
      </c>
      <c r="AA260" s="19">
        <v>1</v>
      </c>
      <c r="AB260" s="19">
        <v>1</v>
      </c>
      <c r="AC260" s="19" t="s">
        <v>58</v>
      </c>
      <c r="AD260" s="19" t="s">
        <v>566</v>
      </c>
      <c r="AE260" s="19" t="s">
        <v>960</v>
      </c>
      <c r="AF260" s="19"/>
    </row>
    <row r="261" spans="1:34" customHeight="1" ht="42">
      <c r="A261" s="19">
        <v>253</v>
      </c>
      <c r="B261" s="19" t="s">
        <v>1020</v>
      </c>
      <c r="C261" s="19" t="s">
        <v>826</v>
      </c>
      <c r="D261" s="19" t="str">
        <f>HYPERLINK("http://henontech.com/fieldsafety/harzard/harzard_show.php?rid=3695&amp;url=harzardrecs.php","水熄车爬梯缺少防护笼，一维修工在检修设备时，脚底打滑踏空，从高处坠落小腿与铁器撞击，造成小腿骨折，送医治疗。")</f>
        <v>水熄车爬梯缺少防护笼，一维修工在检修设备时，脚底打滑踏空，从高处坠落小腿与铁器撞击，造成小腿骨折，送医治疗。</v>
      </c>
      <c r="E261" s="19" t="s">
        <v>1365</v>
      </c>
      <c r="F261" s="25" t="s">
        <v>828</v>
      </c>
      <c r="G261" s="22" t="s">
        <v>64</v>
      </c>
      <c r="H261" s="19" t="s">
        <v>44</v>
      </c>
      <c r="I261" s="19" t="s">
        <v>106</v>
      </c>
      <c r="J261" s="19" t="s">
        <v>45</v>
      </c>
      <c r="K261" s="19" t="s">
        <v>108</v>
      </c>
      <c r="L261" s="19" t="s">
        <v>252</v>
      </c>
      <c r="M261" s="19" t="s">
        <v>46</v>
      </c>
      <c r="N261" s="19" t="s">
        <v>1366</v>
      </c>
      <c r="O261" s="19" t="s">
        <v>46</v>
      </c>
      <c r="P261" s="19" t="s">
        <v>219</v>
      </c>
      <c r="Q261" s="19" t="s">
        <v>1326</v>
      </c>
      <c r="R261" s="19" t="s">
        <v>1367</v>
      </c>
      <c r="S261" s="19"/>
      <c r="T261" s="19" t="s">
        <v>52</v>
      </c>
      <c r="U261" s="19" t="s">
        <v>89</v>
      </c>
      <c r="V261" s="19" t="s">
        <v>54</v>
      </c>
      <c r="W261" s="19" t="s">
        <v>72</v>
      </c>
      <c r="X261" s="19" t="s">
        <v>90</v>
      </c>
      <c r="Y261" s="19"/>
      <c r="Z261" s="19" t="s">
        <v>1368</v>
      </c>
      <c r="AA261" s="19">
        <v>2</v>
      </c>
      <c r="AB261" s="19"/>
      <c r="AC261" s="19" t="s">
        <v>103</v>
      </c>
      <c r="AD261" s="19"/>
      <c r="AE261" s="19"/>
      <c r="AF261" s="19"/>
    </row>
    <row r="262" spans="1:34" customHeight="1" ht="42">
      <c r="A262" s="19">
        <v>254</v>
      </c>
      <c r="B262" s="19" t="s">
        <v>1020</v>
      </c>
      <c r="C262" s="19" t="s">
        <v>826</v>
      </c>
      <c r="D262" s="19" t="str">
        <f>HYPERLINK("http://henontech.com/fieldsafety/harzard/harzard_show.php?rid=3696&amp;url=harzardrecs.php","筛焦楼地面环境除尘，电机平台因无防护栏，操作工在擦拭设备时，不慎从两米多高的平台跌落，造成小腿骨折，送医救治。")</f>
        <v>筛焦楼地面环境除尘，电机平台因无防护栏，操作工在擦拭设备时，不慎从两米多高的平台跌落，造成小腿骨折，送医救治。</v>
      </c>
      <c r="E262" s="19" t="s">
        <v>1365</v>
      </c>
      <c r="F262" s="25" t="s">
        <v>828</v>
      </c>
      <c r="G262" s="22" t="s">
        <v>64</v>
      </c>
      <c r="H262" s="19" t="s">
        <v>44</v>
      </c>
      <c r="I262" s="19" t="s">
        <v>106</v>
      </c>
      <c r="J262" s="19" t="s">
        <v>45</v>
      </c>
      <c r="K262" s="19" t="s">
        <v>108</v>
      </c>
      <c r="L262" s="19" t="s">
        <v>142</v>
      </c>
      <c r="M262" s="19" t="s">
        <v>46</v>
      </c>
      <c r="N262" s="19" t="s">
        <v>1369</v>
      </c>
      <c r="O262" s="19" t="s">
        <v>46</v>
      </c>
      <c r="P262" s="19" t="s">
        <v>219</v>
      </c>
      <c r="Q262" s="19" t="s">
        <v>1326</v>
      </c>
      <c r="R262" s="19" t="s">
        <v>1370</v>
      </c>
      <c r="S262" s="19"/>
      <c r="T262" s="19" t="s">
        <v>52</v>
      </c>
      <c r="U262" s="19" t="s">
        <v>89</v>
      </c>
      <c r="V262" s="19" t="s">
        <v>54</v>
      </c>
      <c r="W262" s="19" t="s">
        <v>72</v>
      </c>
      <c r="X262" s="19" t="s">
        <v>90</v>
      </c>
      <c r="Y262" s="19"/>
      <c r="Z262" s="19" t="s">
        <v>1371</v>
      </c>
      <c r="AA262" s="19">
        <v>2</v>
      </c>
      <c r="AB262" s="19"/>
      <c r="AC262" s="19" t="s">
        <v>103</v>
      </c>
      <c r="AD262" s="19"/>
      <c r="AE262" s="19"/>
      <c r="AF262" s="19"/>
    </row>
    <row r="263" spans="1:34" customHeight="1" ht="42">
      <c r="A263" s="19">
        <v>255</v>
      </c>
      <c r="B263" s="19" t="s">
        <v>1020</v>
      </c>
      <c r="C263" s="19" t="s">
        <v>46</v>
      </c>
      <c r="D263" s="19" t="str">
        <f>HYPERLINK("http://henontech.com/fieldsafety/harzard/harzard_show.php?rid=3697&amp;url=harzardrecs.php","因焦四机尾通廊爬梯踏板腐蚀脱落，一操作工在巡检时，不慎踏空造成脚踝扭伤，就医治疗。")</f>
        <v>因焦四机尾通廊爬梯踏板腐蚀脱落，一操作工在巡检时，不慎踏空造成脚踝扭伤，就医治疗。</v>
      </c>
      <c r="E263" s="19" t="s">
        <v>827</v>
      </c>
      <c r="F263" s="25" t="s">
        <v>828</v>
      </c>
      <c r="G263" s="22" t="s">
        <v>64</v>
      </c>
      <c r="H263" s="19" t="s">
        <v>44</v>
      </c>
      <c r="I263" s="19" t="s">
        <v>106</v>
      </c>
      <c r="J263" s="19" t="s">
        <v>45</v>
      </c>
      <c r="K263" s="19" t="s">
        <v>170</v>
      </c>
      <c r="L263" s="19" t="s">
        <v>252</v>
      </c>
      <c r="M263" s="19" t="s">
        <v>46</v>
      </c>
      <c r="N263" s="19" t="s">
        <v>47</v>
      </c>
      <c r="O263" s="19" t="s">
        <v>46</v>
      </c>
      <c r="P263" s="19" t="s">
        <v>219</v>
      </c>
      <c r="Q263" s="19" t="s">
        <v>1326</v>
      </c>
      <c r="R263" s="19" t="s">
        <v>1372</v>
      </c>
      <c r="S263" s="19"/>
      <c r="T263" s="19" t="s">
        <v>52</v>
      </c>
      <c r="U263" s="19" t="s">
        <v>89</v>
      </c>
      <c r="V263" s="19" t="s">
        <v>54</v>
      </c>
      <c r="W263" s="19" t="s">
        <v>72</v>
      </c>
      <c r="X263" s="19" t="s">
        <v>73</v>
      </c>
      <c r="Y263" s="19"/>
      <c r="Z263" s="19" t="s">
        <v>1373</v>
      </c>
      <c r="AA263" s="19">
        <v>2</v>
      </c>
      <c r="AB263" s="19"/>
      <c r="AC263" s="19" t="s">
        <v>103</v>
      </c>
      <c r="AD263" s="19"/>
      <c r="AE263" s="19"/>
      <c r="AF263" s="19"/>
    </row>
    <row r="264" spans="1:34" customHeight="1" ht="42">
      <c r="A264" s="19">
        <v>256</v>
      </c>
      <c r="B264" s="19" t="s">
        <v>1020</v>
      </c>
      <c r="C264" s="19" t="s">
        <v>1374</v>
      </c>
      <c r="D264" s="19" t="str">
        <f>HYPERLINK("http://henontech.com/fieldsafety/harzard/harzard_show.php?rid=3703&amp;url=harzardrecs.php","夜间送煤车巡检人员在巡检过程中，由于盖板缺失，不慎跌落，造成小腿重伤，送医救治。")</f>
        <v>夜间送煤车巡检人员在巡检过程中，由于盖板缺失，不慎跌落，造成小腿重伤，送医救治。</v>
      </c>
      <c r="E264" s="19" t="s">
        <v>1375</v>
      </c>
      <c r="F264" s="25" t="s">
        <v>828</v>
      </c>
      <c r="G264" s="21" t="s">
        <v>43</v>
      </c>
      <c r="H264" s="19" t="s">
        <v>44</v>
      </c>
      <c r="I264" s="19" t="s">
        <v>119</v>
      </c>
      <c r="J264" s="19" t="s">
        <v>45</v>
      </c>
      <c r="K264" s="19" t="s">
        <v>108</v>
      </c>
      <c r="L264" s="19" t="s">
        <v>252</v>
      </c>
      <c r="M264" s="19" t="s">
        <v>46</v>
      </c>
      <c r="N264" s="19" t="s">
        <v>1376</v>
      </c>
      <c r="O264" s="19" t="s">
        <v>46</v>
      </c>
      <c r="P264" s="19" t="s">
        <v>210</v>
      </c>
      <c r="Q264" s="19" t="s">
        <v>1326</v>
      </c>
      <c r="R264" s="19" t="s">
        <v>186</v>
      </c>
      <c r="S264" s="19"/>
      <c r="T264" s="19" t="s">
        <v>52</v>
      </c>
      <c r="U264" s="19" t="s">
        <v>89</v>
      </c>
      <c r="V264" s="19" t="s">
        <v>71</v>
      </c>
      <c r="W264" s="19" t="s">
        <v>55</v>
      </c>
      <c r="X264" s="19" t="s">
        <v>73</v>
      </c>
      <c r="Y264" s="19"/>
      <c r="Z264" s="19" t="s">
        <v>1377</v>
      </c>
      <c r="AA264" s="19">
        <v>2</v>
      </c>
      <c r="AB264" s="19"/>
      <c r="AC264" s="19" t="s">
        <v>103</v>
      </c>
      <c r="AD264" s="19"/>
      <c r="AE264" s="19"/>
      <c r="AF264" s="19"/>
    </row>
    <row r="265" spans="1:34" customHeight="1" ht="42">
      <c r="A265" s="19">
        <v>257</v>
      </c>
      <c r="B265" s="19" t="s">
        <v>1020</v>
      </c>
      <c r="C265" s="19" t="s">
        <v>1378</v>
      </c>
      <c r="D265" s="19" t="str">
        <f>HYPERLINK("http://henontech.com/fieldsafety/harzard/harzard_show.php?rid=3704&amp;url=harzardrecs.php","推焦车车载除尘护栏矮，操作工在进行布袋清理时脚底磕绊翻越护栏坠落，头部着地，当场昏迷，送医抢救。")</f>
        <v>推焦车车载除尘护栏矮，操作工在进行布袋清理时脚底磕绊翻越护栏坠落，头部着地，当场昏迷，送医抢救。</v>
      </c>
      <c r="E265" s="19" t="s">
        <v>1379</v>
      </c>
      <c r="F265" s="25" t="s">
        <v>828</v>
      </c>
      <c r="G265" s="21" t="s">
        <v>43</v>
      </c>
      <c r="H265" s="19" t="s">
        <v>44</v>
      </c>
      <c r="I265" s="19" t="s">
        <v>119</v>
      </c>
      <c r="J265" s="19" t="s">
        <v>45</v>
      </c>
      <c r="K265" s="19" t="s">
        <v>108</v>
      </c>
      <c r="L265" s="19" t="s">
        <v>99</v>
      </c>
      <c r="M265" s="19" t="s">
        <v>46</v>
      </c>
      <c r="N265" s="19" t="s">
        <v>210</v>
      </c>
      <c r="O265" s="19" t="s">
        <v>46</v>
      </c>
      <c r="P265" s="19" t="s">
        <v>219</v>
      </c>
      <c r="Q265" s="19" t="s">
        <v>1326</v>
      </c>
      <c r="R265" s="19" t="s">
        <v>1380</v>
      </c>
      <c r="S265" s="19"/>
      <c r="T265" s="19" t="s">
        <v>52</v>
      </c>
      <c r="U265" s="19" t="s">
        <v>53</v>
      </c>
      <c r="V265" s="19" t="s">
        <v>71</v>
      </c>
      <c r="W265" s="19" t="s">
        <v>116</v>
      </c>
      <c r="X265" s="19" t="s">
        <v>90</v>
      </c>
      <c r="Y265" s="19"/>
      <c r="Z265" s="19" t="s">
        <v>1381</v>
      </c>
      <c r="AA265" s="19">
        <v>2</v>
      </c>
      <c r="AB265" s="19"/>
      <c r="AC265" s="19" t="s">
        <v>103</v>
      </c>
      <c r="AD265" s="19"/>
      <c r="AE265" s="19"/>
      <c r="AF265" s="19"/>
    </row>
    <row r="266" spans="1:34" customHeight="1" ht="42">
      <c r="A266" s="19">
        <v>258</v>
      </c>
      <c r="B266" s="19" t="s">
        <v>1020</v>
      </c>
      <c r="C266" s="19" t="s">
        <v>1382</v>
      </c>
      <c r="D266" s="19" t="str">
        <f>HYPERLINK("http://henontech.com/fieldsafety/harzard/harzard_show.php?rid=3705&amp;url=harzardrecs.php","拦焦车滑触线绝缘瓷瓶坏，滑触线落于接地线上，造成拦焦断电，抢修两个小时。")</f>
        <v>拦焦车滑触线绝缘瓷瓶坏，滑触线落于接地线上，造成拦焦断电，抢修两个小时。</v>
      </c>
      <c r="E266" s="19" t="s">
        <v>1383</v>
      </c>
      <c r="F266" s="25" t="s">
        <v>828</v>
      </c>
      <c r="G266" s="22" t="s">
        <v>64</v>
      </c>
      <c r="H266" s="19" t="s">
        <v>44</v>
      </c>
      <c r="I266" s="19" t="s">
        <v>119</v>
      </c>
      <c r="J266" s="19" t="s">
        <v>45</v>
      </c>
      <c r="K266" s="19" t="s">
        <v>108</v>
      </c>
      <c r="L266" s="19" t="s">
        <v>252</v>
      </c>
      <c r="M266" s="19" t="s">
        <v>46</v>
      </c>
      <c r="N266" s="19" t="s">
        <v>210</v>
      </c>
      <c r="O266" s="19" t="s">
        <v>46</v>
      </c>
      <c r="P266" s="19" t="s">
        <v>219</v>
      </c>
      <c r="Q266" s="19" t="s">
        <v>1326</v>
      </c>
      <c r="R266" s="19" t="s">
        <v>114</v>
      </c>
      <c r="S266" s="19"/>
      <c r="T266" s="19" t="s">
        <v>78</v>
      </c>
      <c r="U266" s="19" t="s">
        <v>79</v>
      </c>
      <c r="V266" s="19" t="s">
        <v>71</v>
      </c>
      <c r="W266" s="19" t="s">
        <v>81</v>
      </c>
      <c r="X266" s="19" t="s">
        <v>90</v>
      </c>
      <c r="Y266" s="19"/>
      <c r="Z266" s="19" t="s">
        <v>1384</v>
      </c>
      <c r="AA266" s="19">
        <v>2</v>
      </c>
      <c r="AB266" s="19"/>
      <c r="AC266" s="19" t="s">
        <v>103</v>
      </c>
      <c r="AD266" s="19"/>
      <c r="AE266" s="19"/>
      <c r="AF266" s="19"/>
    </row>
    <row r="267" spans="1:34" customHeight="1" ht="42">
      <c r="A267" s="19">
        <v>259</v>
      </c>
      <c r="B267" s="19" t="s">
        <v>1020</v>
      </c>
      <c r="C267" s="19" t="s">
        <v>152</v>
      </c>
      <c r="D267" s="19" t="str">
        <f>HYPERLINK("http://henontech.com/fieldsafety/harzard/harzard_show.php?rid=3706&amp;url=harzardrecs.php","外协施工单位吊笼内存有铆钉及彩钢板边角料，若起吊后内部杂物被施工人员踩碰自吊笼周边空隙掉落，恰巧击中施工去下方1名协助备料施工人员背部。")</f>
        <v>外协施工单位吊笼内存有铆钉及彩钢板边角料，若起吊后内部杂物被施工人员踩碰自吊笼周边空隙掉落，恰巧击中施工去下方1名协助备料施工人员背部。</v>
      </c>
      <c r="E267" s="19" t="s">
        <v>1385</v>
      </c>
      <c r="F267" s="20" t="s">
        <v>42</v>
      </c>
      <c r="G267" s="21" t="s">
        <v>43</v>
      </c>
      <c r="H267" s="19" t="s">
        <v>44</v>
      </c>
      <c r="I267" s="19"/>
      <c r="J267" s="19" t="s">
        <v>45</v>
      </c>
      <c r="K267" s="19" t="s">
        <v>216</v>
      </c>
      <c r="L267" s="19"/>
      <c r="M267" s="19" t="s">
        <v>46</v>
      </c>
      <c r="N267" s="19" t="s">
        <v>1386</v>
      </c>
      <c r="O267" s="19" t="s">
        <v>46</v>
      </c>
      <c r="P267" s="19" t="s">
        <v>154</v>
      </c>
      <c r="Q267" s="19" t="s">
        <v>863</v>
      </c>
      <c r="R267" s="19" t="s">
        <v>1387</v>
      </c>
      <c r="S267" s="19"/>
      <c r="T267" s="19" t="s">
        <v>52</v>
      </c>
      <c r="U267" s="19" t="s">
        <v>89</v>
      </c>
      <c r="V267" s="19" t="s">
        <v>71</v>
      </c>
      <c r="W267" s="19" t="s">
        <v>55</v>
      </c>
      <c r="X267" s="19" t="s">
        <v>364</v>
      </c>
      <c r="Y267" s="19"/>
      <c r="Z267" s="19" t="s">
        <v>1388</v>
      </c>
      <c r="AA267" s="19">
        <v>2</v>
      </c>
      <c r="AB267" s="19">
        <v>2</v>
      </c>
      <c r="AC267" s="19" t="s">
        <v>58</v>
      </c>
      <c r="AD267" s="19" t="s">
        <v>154</v>
      </c>
      <c r="AE267" s="19" t="s">
        <v>1020</v>
      </c>
      <c r="AF267" s="19" t="s">
        <v>1389</v>
      </c>
    </row>
    <row r="268" spans="1:34" customHeight="1" ht="42">
      <c r="A268" s="19">
        <v>260</v>
      </c>
      <c r="B268" s="19" t="s">
        <v>1020</v>
      </c>
      <c r="C268" s="19" t="s">
        <v>578</v>
      </c>
      <c r="D268" s="19" t="str">
        <f>HYPERLINK("http://henontech.com/fieldsafety/harzard/harzard_show.php?rid=3707&amp;url=harzardrecs.php","西三门口上照明灯损坏 操作工夜班巡查时看不清脚下被绊倒扭伤右脚脚踝 休息一会不影响工作")</f>
        <v>西三门口上照明灯损坏 操作工夜班巡查时看不清脚下被绊倒扭伤右脚脚踝 休息一会不影响工作</v>
      </c>
      <c r="E268" s="19" t="s">
        <v>1148</v>
      </c>
      <c r="F268" s="20" t="s">
        <v>42</v>
      </c>
      <c r="G268" s="22" t="s">
        <v>64</v>
      </c>
      <c r="H268" s="19" t="s">
        <v>44</v>
      </c>
      <c r="I268" s="19" t="s">
        <v>119</v>
      </c>
      <c r="J268" s="19" t="s">
        <v>527</v>
      </c>
      <c r="K268" s="19" t="s">
        <v>170</v>
      </c>
      <c r="L268" s="19"/>
      <c r="M268" s="19" t="s">
        <v>565</v>
      </c>
      <c r="N268" s="19" t="s">
        <v>1143</v>
      </c>
      <c r="O268" s="19" t="s">
        <v>565</v>
      </c>
      <c r="P268" s="19" t="s">
        <v>1144</v>
      </c>
      <c r="Q268" s="19" t="s">
        <v>863</v>
      </c>
      <c r="R268" s="19" t="s">
        <v>1018</v>
      </c>
      <c r="S268" s="19"/>
      <c r="T268" s="19" t="s">
        <v>52</v>
      </c>
      <c r="U268" s="19" t="s">
        <v>70</v>
      </c>
      <c r="V268" s="19" t="s">
        <v>54</v>
      </c>
      <c r="W268" s="19" t="s">
        <v>81</v>
      </c>
      <c r="X268" s="19"/>
      <c r="Y268" s="19"/>
      <c r="Z268" s="19" t="s">
        <v>1390</v>
      </c>
      <c r="AA268" s="19">
        <v>2</v>
      </c>
      <c r="AB268" s="19">
        <v>2</v>
      </c>
      <c r="AC268" s="19" t="s">
        <v>58</v>
      </c>
      <c r="AD268" s="19" t="s">
        <v>1144</v>
      </c>
      <c r="AE268" s="19" t="s">
        <v>960</v>
      </c>
      <c r="AF268" s="19"/>
    </row>
    <row r="269" spans="1:34">
      <c r="A269" s="19">
        <v>261</v>
      </c>
      <c r="B269" s="19" t="s">
        <v>1020</v>
      </c>
      <c r="C269" s="19" t="s">
        <v>578</v>
      </c>
      <c r="D269" s="19" t="str">
        <f>HYPERLINK("http://henontech.com/fieldsafety/harzard/harzard_show.php?rid=3708&amp;url=harzardrecs.php","西四潜水泵电源线未套管 电源线被窗子挤破线皮 操作工使用时挪泵 不慎碰触到破损处 触电摔倒擦伤手掌 去医务室包扎在家休息两天")</f>
        <v>西四潜水泵电源线未套管 电源线被窗子挤破线皮 操作工使用时挪泵 不慎碰触到破损处 触电摔倒擦伤手掌 去医务室包扎在家休息两天</v>
      </c>
      <c r="E269" s="19" t="s">
        <v>1391</v>
      </c>
      <c r="F269" s="20" t="s">
        <v>42</v>
      </c>
      <c r="G269" s="22" t="s">
        <v>64</v>
      </c>
      <c r="H269" s="19" t="s">
        <v>44</v>
      </c>
      <c r="I269" s="19" t="s">
        <v>97</v>
      </c>
      <c r="J269" s="19" t="s">
        <v>527</v>
      </c>
      <c r="K269" s="19"/>
      <c r="L269" s="19"/>
      <c r="M269" s="19" t="s">
        <v>565</v>
      </c>
      <c r="N269" s="19" t="s">
        <v>1143</v>
      </c>
      <c r="O269" s="19" t="s">
        <v>565</v>
      </c>
      <c r="P269" s="19" t="s">
        <v>1144</v>
      </c>
      <c r="Q269" s="19" t="s">
        <v>863</v>
      </c>
      <c r="R269" s="19" t="s">
        <v>1023</v>
      </c>
      <c r="S269" s="19"/>
      <c r="T269" s="19" t="s">
        <v>52</v>
      </c>
      <c r="U269" s="19" t="s">
        <v>70</v>
      </c>
      <c r="V269" s="19" t="s">
        <v>54</v>
      </c>
      <c r="W269" s="19" t="s">
        <v>81</v>
      </c>
      <c r="X269" s="19"/>
      <c r="Y269" s="19"/>
      <c r="Z269" s="19" t="s">
        <v>1150</v>
      </c>
      <c r="AA269" s="19">
        <v>1</v>
      </c>
      <c r="AB269" s="19">
        <v>1</v>
      </c>
      <c r="AC269" s="19" t="s">
        <v>58</v>
      </c>
      <c r="AD269" s="19" t="s">
        <v>1144</v>
      </c>
      <c r="AE269" s="19" t="s">
        <v>960</v>
      </c>
      <c r="AF269" s="19"/>
    </row>
    <row r="270" spans="1:34">
      <c r="A270" s="19">
        <v>262</v>
      </c>
      <c r="B270" s="19" t="s">
        <v>1020</v>
      </c>
      <c r="C270" s="19" t="s">
        <v>946</v>
      </c>
      <c r="D270" s="19" t="str">
        <f>HYPERLINK("http://henontech.com/fieldsafety/harzard/harzard_show.php?rid=3710&amp;url=harzardrecs.php","西硫铵氨气管道阀门垫子坏漏氨气，如果发现不及时，操作工巡检时造成身体不适，轻微中毒住院三天休息四天后上班。")</f>
        <v>西硫铵氨气管道阀门垫子坏漏氨气，如果发现不及时，操作工巡检时造成身体不适，轻微中毒住院三天休息四天后上班。</v>
      </c>
      <c r="E270" s="19" t="s">
        <v>1392</v>
      </c>
      <c r="F270" s="20" t="s">
        <v>42</v>
      </c>
      <c r="G270" s="22" t="s">
        <v>64</v>
      </c>
      <c r="H270" s="19" t="s">
        <v>44</v>
      </c>
      <c r="I270" s="19" t="s">
        <v>119</v>
      </c>
      <c r="J270" s="19" t="s">
        <v>45</v>
      </c>
      <c r="K270" s="19" t="s">
        <v>108</v>
      </c>
      <c r="L270" s="19"/>
      <c r="M270" s="19" t="s">
        <v>334</v>
      </c>
      <c r="N270" s="19" t="s">
        <v>1393</v>
      </c>
      <c r="O270" s="19" t="s">
        <v>334</v>
      </c>
      <c r="P270" s="19" t="s">
        <v>346</v>
      </c>
      <c r="Q270" s="19" t="s">
        <v>888</v>
      </c>
      <c r="R270" s="19" t="s">
        <v>1394</v>
      </c>
      <c r="S270" s="19"/>
      <c r="T270" s="19" t="s">
        <v>52</v>
      </c>
      <c r="U270" s="19" t="s">
        <v>89</v>
      </c>
      <c r="V270" s="19" t="s">
        <v>71</v>
      </c>
      <c r="W270" s="19" t="s">
        <v>55</v>
      </c>
      <c r="X270" s="19"/>
      <c r="Y270" s="19"/>
      <c r="Z270" s="19" t="s">
        <v>1395</v>
      </c>
      <c r="AA270" s="19">
        <v>1</v>
      </c>
      <c r="AB270" s="19">
        <v>1</v>
      </c>
      <c r="AC270" s="19" t="s">
        <v>58</v>
      </c>
      <c r="AD270" s="19" t="s">
        <v>346</v>
      </c>
      <c r="AE270" s="19" t="s">
        <v>751</v>
      </c>
      <c r="AF270" s="19"/>
    </row>
    <row r="271" spans="1:34" customHeight="1" ht="42">
      <c r="A271" s="19">
        <v>263</v>
      </c>
      <c r="B271" s="19" t="s">
        <v>1020</v>
      </c>
      <c r="C271" s="19" t="s">
        <v>1396</v>
      </c>
      <c r="D271" s="19" t="str">
        <f>HYPERLINK("http://henontech.com/fieldsafety/harzard/harzard_show.php?rid=3711&amp;url=harzardrecs.php","35T锅炉取样间隔断固定不牢，密封条脱落致倾到致取样操作工砸伤")</f>
        <v>35T锅炉取样间隔断固定不牢，密封条脱落致倾到致取样操作工砸伤</v>
      </c>
      <c r="E271" s="19" t="s">
        <v>1397</v>
      </c>
      <c r="F271" s="20" t="s">
        <v>42</v>
      </c>
      <c r="G271" s="24" t="s">
        <v>251</v>
      </c>
      <c r="H271" s="19" t="s">
        <v>44</v>
      </c>
      <c r="I271" s="19" t="s">
        <v>119</v>
      </c>
      <c r="J271" s="19" t="s">
        <v>45</v>
      </c>
      <c r="K271" s="19"/>
      <c r="L271" s="19" t="s">
        <v>99</v>
      </c>
      <c r="M271" s="19" t="s">
        <v>663</v>
      </c>
      <c r="N271" s="19" t="s">
        <v>1398</v>
      </c>
      <c r="O271" s="19" t="s">
        <v>663</v>
      </c>
      <c r="P271" s="19" t="s">
        <v>664</v>
      </c>
      <c r="Q271" s="19" t="s">
        <v>888</v>
      </c>
      <c r="R271" s="19" t="s">
        <v>1396</v>
      </c>
      <c r="S271" s="19"/>
      <c r="T271" s="19" t="s">
        <v>52</v>
      </c>
      <c r="U271" s="19" t="s">
        <v>89</v>
      </c>
      <c r="V271" s="19" t="s">
        <v>71</v>
      </c>
      <c r="W271" s="19" t="s">
        <v>55</v>
      </c>
      <c r="X271" s="19"/>
      <c r="Y271" s="19"/>
      <c r="Z271" s="19" t="s">
        <v>1399</v>
      </c>
      <c r="AA271" s="19">
        <v>2</v>
      </c>
      <c r="AB271" s="19">
        <v>2</v>
      </c>
      <c r="AC271" s="19" t="s">
        <v>58</v>
      </c>
      <c r="AD271" s="19" t="s">
        <v>664</v>
      </c>
      <c r="AE271" s="19" t="s">
        <v>965</v>
      </c>
      <c r="AF271" s="19"/>
    </row>
    <row r="272" spans="1:34" customHeight="1" ht="42">
      <c r="A272" s="19">
        <v>264</v>
      </c>
      <c r="B272" s="19" t="s">
        <v>1020</v>
      </c>
      <c r="C272" s="19" t="s">
        <v>1374</v>
      </c>
      <c r="D272" s="19" t="str">
        <f>HYPERLINK("http://henontech.com/fieldsafety/harzard/harzard_show.php?rid=3712&amp;url=harzardrecs.php","装煤车平煤机架接头断裂无法平煤，装煤时浮煤掉落太多造成烟气过大")</f>
        <v>装煤车平煤机架接头断裂无法平煤，装煤时浮煤掉落太多造成烟气过大</v>
      </c>
      <c r="E272" s="19" t="s">
        <v>1400</v>
      </c>
      <c r="F272" s="25" t="s">
        <v>828</v>
      </c>
      <c r="G272" s="22" t="s">
        <v>64</v>
      </c>
      <c r="H272" s="19" t="s">
        <v>44</v>
      </c>
      <c r="I272" s="19" t="s">
        <v>192</v>
      </c>
      <c r="J272" s="19" t="s">
        <v>45</v>
      </c>
      <c r="K272" s="19" t="s">
        <v>108</v>
      </c>
      <c r="L272" s="19" t="s">
        <v>252</v>
      </c>
      <c r="M272" s="19" t="s">
        <v>46</v>
      </c>
      <c r="N272" s="19" t="s">
        <v>1401</v>
      </c>
      <c r="O272" s="19" t="s">
        <v>46</v>
      </c>
      <c r="P272" s="19" t="s">
        <v>219</v>
      </c>
      <c r="Q272" s="19" t="s">
        <v>1326</v>
      </c>
      <c r="R272" s="19" t="s">
        <v>1402</v>
      </c>
      <c r="S272" s="19"/>
      <c r="T272" s="19" t="s">
        <v>200</v>
      </c>
      <c r="U272" s="19" t="s">
        <v>79</v>
      </c>
      <c r="V272" s="19" t="s">
        <v>80</v>
      </c>
      <c r="W272" s="19" t="s">
        <v>81</v>
      </c>
      <c r="X272" s="19" t="s">
        <v>73</v>
      </c>
      <c r="Y272" s="19"/>
      <c r="Z272" s="19" t="s">
        <v>1403</v>
      </c>
      <c r="AA272" s="19">
        <v>2</v>
      </c>
      <c r="AB272" s="19"/>
      <c r="AC272" s="19" t="s">
        <v>103</v>
      </c>
      <c r="AD272" s="19"/>
      <c r="AE272" s="19"/>
      <c r="AF272" s="19"/>
    </row>
    <row r="273" spans="1:34">
      <c r="A273" s="19">
        <v>265</v>
      </c>
      <c r="B273" s="19" t="s">
        <v>751</v>
      </c>
      <c r="C273" s="19" t="s">
        <v>537</v>
      </c>
      <c r="D273" s="19" t="str">
        <f>HYPERLINK("http://henontech.com/fieldsafety/harzard/harzard_show.php?rid=3713&amp;url=harzardrecs.php","循环槽北通道放置催化剂处包装带散落在地面上，一名巡检工走到此处被包装带拌倒，手臂着地，送医院拍片检查手腕脱臼，经过治疗回家休养")</f>
        <v>循环槽北通道放置催化剂处包装带散落在地面上，一名巡检工走到此处被包装带拌倒，手臂着地，送医院拍片检查手腕脱臼，经过治疗回家休养</v>
      </c>
      <c r="E273" s="19" t="s">
        <v>1404</v>
      </c>
      <c r="F273" s="20" t="s">
        <v>42</v>
      </c>
      <c r="G273" s="22" t="s">
        <v>64</v>
      </c>
      <c r="H273" s="19" t="s">
        <v>44</v>
      </c>
      <c r="I273" s="19" t="s">
        <v>119</v>
      </c>
      <c r="J273" s="19"/>
      <c r="K273" s="19" t="s">
        <v>108</v>
      </c>
      <c r="L273" s="19"/>
      <c r="M273" s="19" t="s">
        <v>334</v>
      </c>
      <c r="N273" s="19" t="s">
        <v>1405</v>
      </c>
      <c r="O273" s="19" t="s">
        <v>334</v>
      </c>
      <c r="P273" s="19" t="s">
        <v>346</v>
      </c>
      <c r="Q273" s="19" t="s">
        <v>863</v>
      </c>
      <c r="R273" s="19" t="s">
        <v>1406</v>
      </c>
      <c r="S273" s="19"/>
      <c r="T273" s="19" t="s">
        <v>52</v>
      </c>
      <c r="U273" s="19" t="s">
        <v>89</v>
      </c>
      <c r="V273" s="19" t="s">
        <v>71</v>
      </c>
      <c r="W273" s="19" t="s">
        <v>55</v>
      </c>
      <c r="X273" s="19"/>
      <c r="Y273" s="19"/>
      <c r="Z273" s="19" t="s">
        <v>1407</v>
      </c>
      <c r="AA273" s="19">
        <v>1</v>
      </c>
      <c r="AB273" s="19">
        <v>1</v>
      </c>
      <c r="AC273" s="19" t="s">
        <v>58</v>
      </c>
      <c r="AD273" s="19" t="s">
        <v>346</v>
      </c>
      <c r="AE273" s="19" t="s">
        <v>807</v>
      </c>
      <c r="AF273" s="19"/>
    </row>
    <row r="274" spans="1:34">
      <c r="A274" s="19">
        <v>266</v>
      </c>
      <c r="B274" s="19" t="s">
        <v>1020</v>
      </c>
      <c r="C274" s="19" t="s">
        <v>1408</v>
      </c>
      <c r="D274" s="19" t="str">
        <f>HYPERLINK("http://henontech.com/fieldsafety/harzard/harzard_show.php?rid=3714&amp;url=harzardrecs.php","深度脱硫4#熔硫釜回液管线腐蚀蒸汽泄露，假如一名操作工再开关阀门时被泄漏的蒸汽烫伤左脸，送医院治疗20天后正常上班损工20天")</f>
        <v>深度脱硫4#熔硫釜回液管线腐蚀蒸汽泄露，假如一名操作工再开关阀门时被泄漏的蒸汽烫伤左脸，送医院治疗20天后正常上班损工20天</v>
      </c>
      <c r="E274" s="19" t="s">
        <v>1409</v>
      </c>
      <c r="F274" s="20" t="s">
        <v>42</v>
      </c>
      <c r="G274" s="22" t="s">
        <v>64</v>
      </c>
      <c r="H274" s="19" t="s">
        <v>44</v>
      </c>
      <c r="I274" s="19" t="s">
        <v>97</v>
      </c>
      <c r="J274" s="19" t="s">
        <v>527</v>
      </c>
      <c r="K274" s="19" t="s">
        <v>108</v>
      </c>
      <c r="L274" s="19" t="s">
        <v>99</v>
      </c>
      <c r="M274" s="19" t="s">
        <v>334</v>
      </c>
      <c r="N274" s="19" t="s">
        <v>478</v>
      </c>
      <c r="O274" s="19" t="s">
        <v>334</v>
      </c>
      <c r="P274" s="19" t="s">
        <v>346</v>
      </c>
      <c r="Q274" s="19" t="s">
        <v>888</v>
      </c>
      <c r="R274" s="19" t="s">
        <v>1410</v>
      </c>
      <c r="S274" s="19"/>
      <c r="T274" s="19" t="s">
        <v>52</v>
      </c>
      <c r="U274" s="19" t="s">
        <v>89</v>
      </c>
      <c r="V274" s="19" t="s">
        <v>71</v>
      </c>
      <c r="W274" s="19" t="s">
        <v>55</v>
      </c>
      <c r="X274" s="19"/>
      <c r="Y274" s="19"/>
      <c r="Z274" s="19" t="s">
        <v>1411</v>
      </c>
      <c r="AA274" s="19">
        <v>1</v>
      </c>
      <c r="AB274" s="19">
        <v>1</v>
      </c>
      <c r="AC274" s="19" t="s">
        <v>58</v>
      </c>
      <c r="AD274" s="19" t="s">
        <v>346</v>
      </c>
      <c r="AE274" s="19" t="s">
        <v>960</v>
      </c>
      <c r="AF274" s="19"/>
    </row>
    <row r="275" spans="1:34">
      <c r="A275" s="19">
        <v>267</v>
      </c>
      <c r="B275" s="19" t="s">
        <v>751</v>
      </c>
      <c r="C275" s="19" t="s">
        <v>1412</v>
      </c>
      <c r="D275" s="19" t="str">
        <f>HYPERLINK("http://henontech.com/fieldsafety/harzard/harzard_show.php?rid=3715&amp;url=harzardrecs.php","操作人员在巡检过程中被管架上部的废旧手柄掉落砸中肩部，送医院查看")</f>
        <v>操作人员在巡检过程中被管架上部的废旧手柄掉落砸中肩部，送医院查看</v>
      </c>
      <c r="E275" s="19" t="s">
        <v>1413</v>
      </c>
      <c r="F275" s="23" t="s">
        <v>96</v>
      </c>
      <c r="G275" s="22" t="s">
        <v>64</v>
      </c>
      <c r="H275" s="19" t="s">
        <v>44</v>
      </c>
      <c r="I275" s="19" t="s">
        <v>119</v>
      </c>
      <c r="J275" s="19" t="s">
        <v>45</v>
      </c>
      <c r="K275" s="19" t="s">
        <v>108</v>
      </c>
      <c r="L275" s="19" t="s">
        <v>99</v>
      </c>
      <c r="M275" s="19" t="s">
        <v>334</v>
      </c>
      <c r="N275" s="19" t="s">
        <v>404</v>
      </c>
      <c r="O275" s="19"/>
      <c r="P275" s="19"/>
      <c r="Q275" s="19"/>
      <c r="R275" s="19" t="s">
        <v>1414</v>
      </c>
      <c r="S275" s="19" t="s">
        <v>1415</v>
      </c>
      <c r="T275" s="19" t="s">
        <v>52</v>
      </c>
      <c r="U275" s="19" t="s">
        <v>89</v>
      </c>
      <c r="V275" s="19" t="s">
        <v>71</v>
      </c>
      <c r="W275" s="19" t="s">
        <v>55</v>
      </c>
      <c r="X275" s="19"/>
      <c r="Y275" s="19"/>
      <c r="Z275" s="19"/>
      <c r="AA275" s="19">
        <v>0</v>
      </c>
      <c r="AB275" s="19"/>
      <c r="AC275" s="19" t="s">
        <v>103</v>
      </c>
      <c r="AD275" s="19"/>
      <c r="AE275" s="19"/>
      <c r="AF275" s="19"/>
    </row>
    <row r="276" spans="1:34">
      <c r="A276" s="19">
        <v>268</v>
      </c>
      <c r="B276" s="19" t="s">
        <v>751</v>
      </c>
      <c r="C276" s="19" t="s">
        <v>1007</v>
      </c>
      <c r="D276" s="19" t="str">
        <f>HYPERLINK("http://henontech.com/fieldsafety/harzard/harzard_show.php?rid=3716&amp;url=harzardrecs.php","维修压滤机房小井潜水泵时盖板未盖，一名操作工在操作时，不小心掉入小井淹溺身亡")</f>
        <v>维修压滤机房小井潜水泵时盖板未盖，一名操作工在操作时，不小心掉入小井淹溺身亡</v>
      </c>
      <c r="E276" s="19" t="s">
        <v>1416</v>
      </c>
      <c r="F276" s="20" t="s">
        <v>42</v>
      </c>
      <c r="G276" s="21" t="s">
        <v>43</v>
      </c>
      <c r="H276" s="19" t="s">
        <v>44</v>
      </c>
      <c r="I276" s="19" t="s">
        <v>119</v>
      </c>
      <c r="J276" s="19" t="s">
        <v>45</v>
      </c>
      <c r="K276" s="19" t="s">
        <v>170</v>
      </c>
      <c r="L276" s="19"/>
      <c r="M276" s="19" t="s">
        <v>232</v>
      </c>
      <c r="N276" s="19" t="s">
        <v>850</v>
      </c>
      <c r="O276" s="19" t="s">
        <v>232</v>
      </c>
      <c r="P276" s="19" t="s">
        <v>1281</v>
      </c>
      <c r="Q276" s="19" t="s">
        <v>1286</v>
      </c>
      <c r="R276" s="19" t="s">
        <v>1417</v>
      </c>
      <c r="S276" s="19"/>
      <c r="T276" s="19" t="s">
        <v>52</v>
      </c>
      <c r="U276" s="19" t="s">
        <v>53</v>
      </c>
      <c r="V276" s="19" t="s">
        <v>54</v>
      </c>
      <c r="W276" s="19" t="s">
        <v>55</v>
      </c>
      <c r="X276" s="19" t="s">
        <v>73</v>
      </c>
      <c r="Y276" s="19" t="s">
        <v>73</v>
      </c>
      <c r="Z276" s="19" t="s">
        <v>1418</v>
      </c>
      <c r="AA276" s="19">
        <v>1</v>
      </c>
      <c r="AB276" s="19">
        <v>1</v>
      </c>
      <c r="AC276" s="19" t="s">
        <v>58</v>
      </c>
      <c r="AD276" s="19" t="s">
        <v>1281</v>
      </c>
      <c r="AE276" s="19" t="s">
        <v>807</v>
      </c>
      <c r="AF276" s="19"/>
    </row>
    <row r="277" spans="1:34">
      <c r="A277" s="19">
        <v>269</v>
      </c>
      <c r="B277" s="19" t="s">
        <v>751</v>
      </c>
      <c r="C277" s="19" t="s">
        <v>578</v>
      </c>
      <c r="D277" s="19" t="str">
        <f>HYPERLINK("http://henontech.com/fieldsafety/harzard/harzard_show.php?rid=3717&amp;url=harzardrecs.php","刮煤板未及时复位，一职工途经时，不慎被绊倒受伤，送医院检查确诊为右小臂骨折，住院治疗15天，回家休养90天后复工。")</f>
        <v>刮煤板未及时复位，一职工途经时，不慎被绊倒受伤，送医院检查确诊为右小臂骨折，住院治疗15天，回家休养90天后复工。</v>
      </c>
      <c r="E277" s="19" t="s">
        <v>1419</v>
      </c>
      <c r="F277" s="20" t="s">
        <v>42</v>
      </c>
      <c r="G277" s="21" t="s">
        <v>43</v>
      </c>
      <c r="H277" s="19" t="s">
        <v>44</v>
      </c>
      <c r="I277" s="19" t="s">
        <v>119</v>
      </c>
      <c r="J277" s="19" t="s">
        <v>182</v>
      </c>
      <c r="K277" s="19" t="s">
        <v>170</v>
      </c>
      <c r="L277" s="19" t="s">
        <v>252</v>
      </c>
      <c r="M277" s="19" t="s">
        <v>565</v>
      </c>
      <c r="N277" s="19" t="s">
        <v>1420</v>
      </c>
      <c r="O277" s="19" t="s">
        <v>565</v>
      </c>
      <c r="P277" s="19" t="s">
        <v>627</v>
      </c>
      <c r="Q277" s="19" t="s">
        <v>1012</v>
      </c>
      <c r="R277" s="19" t="s">
        <v>1421</v>
      </c>
      <c r="S277" s="19"/>
      <c r="T277" s="19" t="s">
        <v>52</v>
      </c>
      <c r="U277" s="19" t="s">
        <v>89</v>
      </c>
      <c r="V277" s="19" t="s">
        <v>71</v>
      </c>
      <c r="W277" s="19" t="s">
        <v>55</v>
      </c>
      <c r="X277" s="19"/>
      <c r="Y277" s="19"/>
      <c r="Z277" s="19" t="s">
        <v>1422</v>
      </c>
      <c r="AA277" s="19">
        <v>1</v>
      </c>
      <c r="AB277" s="19">
        <v>1</v>
      </c>
      <c r="AC277" s="19" t="s">
        <v>58</v>
      </c>
      <c r="AD277" s="19" t="s">
        <v>627</v>
      </c>
      <c r="AE277" s="19" t="s">
        <v>1012</v>
      </c>
      <c r="AF277" s="19"/>
    </row>
    <row r="278" spans="1:34">
      <c r="A278" s="19">
        <v>270</v>
      </c>
      <c r="B278" s="19" t="s">
        <v>751</v>
      </c>
      <c r="C278" s="19" t="s">
        <v>578</v>
      </c>
      <c r="D278" s="19" t="str">
        <f>HYPERLINK("http://henontech.com/fieldsafety/harzard/harzard_show.php?rid=3721&amp;url=harzardrecs.php","施工现场使用的液化气瓶未加防震圈，使用中歪倒受震爆炸，一施工人员受伤昏迷，送医院抢救无效死亡")</f>
        <v>施工现场使用的液化气瓶未加防震圈，使用中歪倒受震爆炸，一施工人员受伤昏迷，送医院抢救无效死亡</v>
      </c>
      <c r="E278" s="19" t="s">
        <v>1423</v>
      </c>
      <c r="F278" s="20" t="s">
        <v>42</v>
      </c>
      <c r="G278" s="24" t="s">
        <v>251</v>
      </c>
      <c r="H278" s="19" t="s">
        <v>44</v>
      </c>
      <c r="I278" s="19"/>
      <c r="J278" s="19" t="s">
        <v>182</v>
      </c>
      <c r="K278" s="19"/>
      <c r="L278" s="19" t="s">
        <v>99</v>
      </c>
      <c r="M278" s="19" t="s">
        <v>565</v>
      </c>
      <c r="N278" s="19" t="s">
        <v>1424</v>
      </c>
      <c r="O278" s="19" t="s">
        <v>565</v>
      </c>
      <c r="P278" s="19" t="s">
        <v>566</v>
      </c>
      <c r="Q278" s="19" t="s">
        <v>888</v>
      </c>
      <c r="R278" s="19" t="s">
        <v>1425</v>
      </c>
      <c r="S278" s="19"/>
      <c r="T278" s="19" t="s">
        <v>52</v>
      </c>
      <c r="U278" s="19" t="s">
        <v>53</v>
      </c>
      <c r="V278" s="19" t="s">
        <v>71</v>
      </c>
      <c r="W278" s="19" t="s">
        <v>116</v>
      </c>
      <c r="X278" s="19" t="s">
        <v>582</v>
      </c>
      <c r="Y278" s="19"/>
      <c r="Z278" s="19" t="s">
        <v>1426</v>
      </c>
      <c r="AA278" s="19">
        <v>1</v>
      </c>
      <c r="AB278" s="19">
        <v>1</v>
      </c>
      <c r="AC278" s="19" t="s">
        <v>58</v>
      </c>
      <c r="AD278" s="19" t="s">
        <v>566</v>
      </c>
      <c r="AE278" s="19" t="s">
        <v>751</v>
      </c>
      <c r="AF278" s="19"/>
    </row>
    <row r="279" spans="1:34">
      <c r="A279" s="19">
        <v>271</v>
      </c>
      <c r="B279" s="19" t="s">
        <v>751</v>
      </c>
      <c r="C279" s="19" t="s">
        <v>578</v>
      </c>
      <c r="D279" s="19" t="str">
        <f>HYPERLINK("http://henontech.com/fieldsafety/harzard/harzard_show.php?rid=3723&amp;url=harzardrecs.php","4#料口周边钢筋外露，一人在清完料口往下走的过程中，被外露的钢筋绊倒，头向下俯地而倒，造成脸部左侧擦伤，消毒休息后继续工作。")</f>
        <v>4#料口周边钢筋外露，一人在清完料口往下走的过程中，被外露的钢筋绊倒，头向下俯地而倒，造成脸部左侧擦伤，消毒休息后继续工作。</v>
      </c>
      <c r="E279" s="19" t="s">
        <v>1427</v>
      </c>
      <c r="F279" s="20" t="s">
        <v>42</v>
      </c>
      <c r="G279" s="21" t="s">
        <v>43</v>
      </c>
      <c r="H279" s="19" t="s">
        <v>44</v>
      </c>
      <c r="I279" s="19" t="s">
        <v>119</v>
      </c>
      <c r="J279" s="19"/>
      <c r="K279" s="19"/>
      <c r="L279" s="19"/>
      <c r="M279" s="19" t="s">
        <v>565</v>
      </c>
      <c r="N279" s="19" t="s">
        <v>1428</v>
      </c>
      <c r="O279" s="19" t="s">
        <v>565</v>
      </c>
      <c r="P279" s="19" t="s">
        <v>566</v>
      </c>
      <c r="Q279" s="19" t="s">
        <v>888</v>
      </c>
      <c r="R279" s="19" t="s">
        <v>1429</v>
      </c>
      <c r="S279" s="19"/>
      <c r="T279" s="19" t="s">
        <v>52</v>
      </c>
      <c r="U279" s="19" t="s">
        <v>70</v>
      </c>
      <c r="V279" s="19" t="s">
        <v>71</v>
      </c>
      <c r="W279" s="19" t="s">
        <v>72</v>
      </c>
      <c r="X279" s="19" t="s">
        <v>90</v>
      </c>
      <c r="Y279" s="19"/>
      <c r="Z279" s="19" t="s">
        <v>1430</v>
      </c>
      <c r="AA279" s="19">
        <v>1</v>
      </c>
      <c r="AB279" s="19">
        <v>1</v>
      </c>
      <c r="AC279" s="19" t="s">
        <v>58</v>
      </c>
      <c r="AD279" s="19" t="s">
        <v>566</v>
      </c>
      <c r="AE279" s="19" t="s">
        <v>751</v>
      </c>
      <c r="AF279" s="19"/>
    </row>
    <row r="280" spans="1:34">
      <c r="A280" s="19">
        <v>272</v>
      </c>
      <c r="B280" s="19" t="s">
        <v>751</v>
      </c>
      <c r="C280" s="19" t="s">
        <v>741</v>
      </c>
      <c r="D280" s="19" t="str">
        <f>HYPERLINK("http://henontech.com/fieldsafety/harzard/harzard_show.php?rid=3727&amp;url=harzardrecs.php","有一根长约三米50Ф铁管搭建在西满流槽顶部，如果大风天气铁管被吹落，砸伤正在此处巡检的操作人员，造成人员头部受击后昏迷，送医院检查脑部有大量淤血，住院治疗一月后康复")</f>
        <v>有一根长约三米50Ф铁管搭建在西满流槽顶部，如果大风天气铁管被吹落，砸伤正在此处巡检的操作人员，造成人员头部受击后昏迷，送医院检查脑部有大量淤血，住院治疗一月后康复</v>
      </c>
      <c r="E280" s="19" t="s">
        <v>1431</v>
      </c>
      <c r="F280" s="20" t="s">
        <v>42</v>
      </c>
      <c r="G280" s="22" t="s">
        <v>64</v>
      </c>
      <c r="H280" s="19" t="s">
        <v>44</v>
      </c>
      <c r="I280" s="19" t="s">
        <v>97</v>
      </c>
      <c r="J280" s="19" t="s">
        <v>45</v>
      </c>
      <c r="K280" s="19" t="s">
        <v>108</v>
      </c>
      <c r="L280" s="19" t="s">
        <v>99</v>
      </c>
      <c r="M280" s="19" t="s">
        <v>334</v>
      </c>
      <c r="N280" s="19" t="s">
        <v>1432</v>
      </c>
      <c r="O280" s="19" t="s">
        <v>334</v>
      </c>
      <c r="P280" s="19" t="s">
        <v>346</v>
      </c>
      <c r="Q280" s="19" t="s">
        <v>863</v>
      </c>
      <c r="R280" s="19" t="s">
        <v>1433</v>
      </c>
      <c r="S280" s="19"/>
      <c r="T280" s="19" t="s">
        <v>52</v>
      </c>
      <c r="U280" s="19" t="s">
        <v>89</v>
      </c>
      <c r="V280" s="19" t="s">
        <v>54</v>
      </c>
      <c r="W280" s="19" t="s">
        <v>72</v>
      </c>
      <c r="X280" s="19"/>
      <c r="Y280" s="19"/>
      <c r="Z280" s="19" t="s">
        <v>1434</v>
      </c>
      <c r="AA280" s="19">
        <v>1</v>
      </c>
      <c r="AB280" s="19">
        <v>1</v>
      </c>
      <c r="AC280" s="19" t="s">
        <v>58</v>
      </c>
      <c r="AD280" s="19" t="s">
        <v>346</v>
      </c>
      <c r="AE280" s="19" t="s">
        <v>807</v>
      </c>
      <c r="AF280" s="19"/>
    </row>
    <row r="281" spans="1:34">
      <c r="A281" s="19">
        <v>273</v>
      </c>
      <c r="B281" s="19" t="s">
        <v>751</v>
      </c>
      <c r="C281" s="19" t="s">
        <v>837</v>
      </c>
      <c r="D281" s="19" t="str">
        <f>HYPERLINK("http://henontech.com/fieldsafety/harzard/harzard_show.php?rid=3730&amp;url=harzardrecs.php","脱硫塔煤气管线平台护兰损坏，一名操作工在上平台开关阀门，由于护栏损坏，不慎跌落，导致身体多处骨折，立即就医。")</f>
        <v>脱硫塔煤气管线平台护兰损坏，一名操作工在上平台开关阀门，由于护栏损坏，不慎跌落，导致身体多处骨折，立即就医。</v>
      </c>
      <c r="E281" s="19" t="s">
        <v>1435</v>
      </c>
      <c r="F281" s="20" t="s">
        <v>42</v>
      </c>
      <c r="G281" s="22" t="s">
        <v>64</v>
      </c>
      <c r="H281" s="19" t="s">
        <v>44</v>
      </c>
      <c r="I281" s="19" t="s">
        <v>106</v>
      </c>
      <c r="J281" s="19" t="s">
        <v>45</v>
      </c>
      <c r="K281" s="19" t="s">
        <v>108</v>
      </c>
      <c r="L281" s="19"/>
      <c r="M281" s="19" t="s">
        <v>334</v>
      </c>
      <c r="N281" s="19" t="s">
        <v>1436</v>
      </c>
      <c r="O281" s="19" t="s">
        <v>334</v>
      </c>
      <c r="P281" s="19" t="s">
        <v>346</v>
      </c>
      <c r="Q281" s="19" t="s">
        <v>863</v>
      </c>
      <c r="R281" s="19" t="s">
        <v>1437</v>
      </c>
      <c r="S281" s="19"/>
      <c r="T281" s="19" t="s">
        <v>52</v>
      </c>
      <c r="U281" s="19" t="s">
        <v>89</v>
      </c>
      <c r="V281" s="19" t="s">
        <v>54</v>
      </c>
      <c r="W281" s="19" t="s">
        <v>72</v>
      </c>
      <c r="X281" s="19"/>
      <c r="Y281" s="19"/>
      <c r="Z281" s="19" t="s">
        <v>1438</v>
      </c>
      <c r="AA281" s="19">
        <v>1</v>
      </c>
      <c r="AB281" s="19">
        <v>1</v>
      </c>
      <c r="AC281" s="19" t="s">
        <v>58</v>
      </c>
      <c r="AD281" s="19" t="s">
        <v>346</v>
      </c>
      <c r="AE281" s="19" t="s">
        <v>960</v>
      </c>
      <c r="AF281" s="19"/>
    </row>
    <row r="282" spans="1:34" customHeight="1" ht="42">
      <c r="A282" s="19">
        <v>274</v>
      </c>
      <c r="B282" s="19" t="s">
        <v>751</v>
      </c>
      <c r="C282" s="19" t="s">
        <v>981</v>
      </c>
      <c r="D282" s="19" t="str">
        <f>HYPERLINK("http://henontech.com/fieldsafety/harzard/harzard_show.php?rid=3731&amp;url=harzardrecs.php","液碱罐爬梯无护栏，没有固定，一职工下去清理卫生，不慎摔下爬梯，送医确诊右腿骨折，住院15天，回家休养三个月。复工")</f>
        <v>液碱罐爬梯无护栏，没有固定，一职工下去清理卫生，不慎摔下爬梯，送医确诊右腿骨折，住院15天，回家休养三个月。复工</v>
      </c>
      <c r="E282" s="19" t="s">
        <v>1439</v>
      </c>
      <c r="F282" s="25" t="s">
        <v>828</v>
      </c>
      <c r="G282" s="22" t="s">
        <v>64</v>
      </c>
      <c r="H282" s="19" t="s">
        <v>44</v>
      </c>
      <c r="I282" s="19" t="s">
        <v>119</v>
      </c>
      <c r="J282" s="19" t="s">
        <v>182</v>
      </c>
      <c r="K282" s="19" t="s">
        <v>108</v>
      </c>
      <c r="L282" s="19" t="s">
        <v>99</v>
      </c>
      <c r="M282" s="19" t="s">
        <v>232</v>
      </c>
      <c r="N282" s="19" t="s">
        <v>895</v>
      </c>
      <c r="O282" s="19" t="s">
        <v>232</v>
      </c>
      <c r="P282" s="19" t="s">
        <v>1440</v>
      </c>
      <c r="Q282" s="19" t="s">
        <v>1441</v>
      </c>
      <c r="R282" s="19" t="s">
        <v>328</v>
      </c>
      <c r="S282" s="19"/>
      <c r="T282" s="19" t="s">
        <v>52</v>
      </c>
      <c r="U282" s="19" t="s">
        <v>89</v>
      </c>
      <c r="V282" s="19" t="s">
        <v>71</v>
      </c>
      <c r="W282" s="19" t="s">
        <v>55</v>
      </c>
      <c r="X282" s="19" t="s">
        <v>73</v>
      </c>
      <c r="Y282" s="19" t="s">
        <v>73</v>
      </c>
      <c r="Z282" s="19" t="s">
        <v>1442</v>
      </c>
      <c r="AA282" s="19">
        <v>2</v>
      </c>
      <c r="AB282" s="19"/>
      <c r="AC282" s="19" t="s">
        <v>103</v>
      </c>
      <c r="AD282" s="19"/>
      <c r="AE282" s="19"/>
      <c r="AF282" s="19"/>
    </row>
    <row r="283" spans="1:34" customHeight="1" ht="42">
      <c r="A283" s="19">
        <v>275</v>
      </c>
      <c r="B283" s="19" t="s">
        <v>751</v>
      </c>
      <c r="C283" s="19" t="s">
        <v>981</v>
      </c>
      <c r="D283" s="19" t="str">
        <f>HYPERLINK("http://henontech.com/fieldsafety/harzard/harzard_show.php?rid=3732&amp;url=harzardrecs.php","液碱罐爬梯无护栏，没有固定，一职工下去清理卫生，不慎摔下爬梯，送医确诊右腿骨折，住院15天，回家休养三个月。复工")</f>
        <v>液碱罐爬梯无护栏，没有固定，一职工下去清理卫生，不慎摔下爬梯，送医确诊右腿骨折，住院15天，回家休养三个月。复工</v>
      </c>
      <c r="E283" s="19" t="s">
        <v>1439</v>
      </c>
      <c r="F283" s="20" t="s">
        <v>42</v>
      </c>
      <c r="G283" s="22" t="s">
        <v>64</v>
      </c>
      <c r="H283" s="19" t="s">
        <v>44</v>
      </c>
      <c r="I283" s="19" t="s">
        <v>119</v>
      </c>
      <c r="J283" s="19" t="s">
        <v>182</v>
      </c>
      <c r="K283" s="19" t="s">
        <v>108</v>
      </c>
      <c r="L283" s="19" t="s">
        <v>99</v>
      </c>
      <c r="M283" s="19" t="s">
        <v>232</v>
      </c>
      <c r="N283" s="19" t="s">
        <v>895</v>
      </c>
      <c r="O283" s="19" t="s">
        <v>232</v>
      </c>
      <c r="P283" s="19" t="s">
        <v>1440</v>
      </c>
      <c r="Q283" s="19" t="s">
        <v>1441</v>
      </c>
      <c r="R283" s="19" t="s">
        <v>328</v>
      </c>
      <c r="S283" s="19"/>
      <c r="T283" s="19" t="s">
        <v>52</v>
      </c>
      <c r="U283" s="19" t="s">
        <v>89</v>
      </c>
      <c r="V283" s="19" t="s">
        <v>71</v>
      </c>
      <c r="W283" s="19" t="s">
        <v>55</v>
      </c>
      <c r="X283" s="19" t="s">
        <v>73</v>
      </c>
      <c r="Y283" s="19" t="s">
        <v>73</v>
      </c>
      <c r="Z283" s="19" t="s">
        <v>1443</v>
      </c>
      <c r="AA283" s="19">
        <v>2</v>
      </c>
      <c r="AB283" s="19">
        <v>2</v>
      </c>
      <c r="AC283" s="19" t="s">
        <v>58</v>
      </c>
      <c r="AD283" s="19" t="s">
        <v>1440</v>
      </c>
      <c r="AE283" s="19" t="s">
        <v>978</v>
      </c>
      <c r="AF283" s="19"/>
    </row>
    <row r="284" spans="1:34" customHeight="1" ht="42">
      <c r="A284" s="19">
        <v>276</v>
      </c>
      <c r="B284" s="19" t="s">
        <v>751</v>
      </c>
      <c r="C284" s="19" t="s">
        <v>578</v>
      </c>
      <c r="D284" s="19" t="str">
        <f>HYPERLINK("http://henontech.com/fieldsafety/harzard/harzard_show.php?rid=3733&amp;url=harzardrecs.php","西五一盏照明灯损坏 夜班操作工巡查时 脚下光线暗不慎被绊倒 扭伤左脚脚踝休息一会不影响工作")</f>
        <v>西五一盏照明灯损坏 夜班操作工巡查时 脚下光线暗不慎被绊倒 扭伤左脚脚踝休息一会不影响工作</v>
      </c>
      <c r="E284" s="19" t="s">
        <v>1444</v>
      </c>
      <c r="F284" s="20" t="s">
        <v>42</v>
      </c>
      <c r="G284" s="22" t="s">
        <v>64</v>
      </c>
      <c r="H284" s="19" t="s">
        <v>44</v>
      </c>
      <c r="I284" s="19" t="s">
        <v>97</v>
      </c>
      <c r="J284" s="19"/>
      <c r="K284" s="19" t="s">
        <v>170</v>
      </c>
      <c r="L284" s="19"/>
      <c r="M284" s="19" t="s">
        <v>565</v>
      </c>
      <c r="N284" s="19" t="s">
        <v>1143</v>
      </c>
      <c r="O284" s="19" t="s">
        <v>565</v>
      </c>
      <c r="P284" s="19" t="s">
        <v>1144</v>
      </c>
      <c r="Q284" s="19" t="s">
        <v>863</v>
      </c>
      <c r="R284" s="19" t="s">
        <v>581</v>
      </c>
      <c r="S284" s="19"/>
      <c r="T284" s="19" t="s">
        <v>52</v>
      </c>
      <c r="U284" s="19" t="s">
        <v>70</v>
      </c>
      <c r="V284" s="19" t="s">
        <v>54</v>
      </c>
      <c r="W284" s="19" t="s">
        <v>81</v>
      </c>
      <c r="X284" s="19"/>
      <c r="Y284" s="19"/>
      <c r="Z284" s="19" t="s">
        <v>1445</v>
      </c>
      <c r="AA284" s="19">
        <v>2</v>
      </c>
      <c r="AB284" s="19">
        <v>2</v>
      </c>
      <c r="AC284" s="19" t="s">
        <v>58</v>
      </c>
      <c r="AD284" s="19" t="s">
        <v>1144</v>
      </c>
      <c r="AE284" s="19" t="s">
        <v>960</v>
      </c>
      <c r="AF284" s="19"/>
    </row>
    <row r="285" spans="1:34">
      <c r="A285" s="19">
        <v>277</v>
      </c>
      <c r="B285" s="19" t="s">
        <v>960</v>
      </c>
      <c r="C285" s="19" t="s">
        <v>447</v>
      </c>
      <c r="D285" s="19" t="str">
        <f>HYPERLINK("http://henontech.com/fieldsafety/harzard/harzard_show.php?rid=3735&amp;url=harzardrecs.php","两盐西侧水沟盖板缺失，夜间巡检人员经过时不慎掉入，造成右脚脚踝扭伤，送医治疗，在家修养3天复工。")</f>
        <v>两盐西侧水沟盖板缺失，夜间巡检人员经过时不慎掉入，造成右脚脚踝扭伤，送医治疗，在家修养3天复工。</v>
      </c>
      <c r="E285" s="19" t="s">
        <v>1446</v>
      </c>
      <c r="F285" s="20" t="s">
        <v>42</v>
      </c>
      <c r="G285" s="22" t="s">
        <v>64</v>
      </c>
      <c r="H285" s="19" t="s">
        <v>44</v>
      </c>
      <c r="I285" s="19" t="s">
        <v>119</v>
      </c>
      <c r="J285" s="19" t="s">
        <v>45</v>
      </c>
      <c r="K285" s="19" t="s">
        <v>108</v>
      </c>
      <c r="L285" s="19" t="s">
        <v>99</v>
      </c>
      <c r="M285" s="19" t="s">
        <v>334</v>
      </c>
      <c r="N285" s="19" t="s">
        <v>643</v>
      </c>
      <c r="O285" s="19" t="s">
        <v>334</v>
      </c>
      <c r="P285" s="19" t="s">
        <v>346</v>
      </c>
      <c r="Q285" s="19" t="s">
        <v>863</v>
      </c>
      <c r="R285" s="19" t="s">
        <v>1447</v>
      </c>
      <c r="S285" s="19"/>
      <c r="T285" s="19" t="s">
        <v>52</v>
      </c>
      <c r="U285" s="19" t="s">
        <v>89</v>
      </c>
      <c r="V285" s="19" t="s">
        <v>71</v>
      </c>
      <c r="W285" s="19" t="s">
        <v>55</v>
      </c>
      <c r="X285" s="19"/>
      <c r="Y285" s="19"/>
      <c r="Z285" s="19" t="s">
        <v>1448</v>
      </c>
      <c r="AA285" s="19">
        <v>1</v>
      </c>
      <c r="AB285" s="19">
        <v>1</v>
      </c>
      <c r="AC285" s="19" t="s">
        <v>58</v>
      </c>
      <c r="AD285" s="19" t="s">
        <v>346</v>
      </c>
      <c r="AE285" s="19" t="s">
        <v>807</v>
      </c>
      <c r="AF285" s="19"/>
    </row>
    <row r="286" spans="1:34">
      <c r="A286" s="19">
        <v>278</v>
      </c>
      <c r="B286" s="19" t="s">
        <v>960</v>
      </c>
      <c r="C286" s="19" t="s">
        <v>1449</v>
      </c>
      <c r="D286" s="19" t="str">
        <f>HYPERLINK("http://henontech.com/fieldsafety/harzard/harzard_show.php?rid=3736&amp;url=harzardrecs.php","吸氨罐区浓氨槽取样点阀门内漏，一操作工室外取样分析过程中，由于取样点阀门内漏关闭不严导致浓氨水溅到身上，简单处理后立即复工。")</f>
        <v>吸氨罐区浓氨槽取样点阀门内漏，一操作工室外取样分析过程中，由于取样点阀门内漏关闭不严导致浓氨水溅到身上，简单处理后立即复工。</v>
      </c>
      <c r="E286" s="19" t="s">
        <v>1450</v>
      </c>
      <c r="F286" s="20" t="s">
        <v>42</v>
      </c>
      <c r="G286" s="22" t="s">
        <v>64</v>
      </c>
      <c r="H286" s="19" t="s">
        <v>44</v>
      </c>
      <c r="I286" s="19" t="s">
        <v>97</v>
      </c>
      <c r="J286" s="19" t="s">
        <v>45</v>
      </c>
      <c r="K286" s="19" t="s">
        <v>108</v>
      </c>
      <c r="L286" s="19"/>
      <c r="M286" s="19" t="s">
        <v>241</v>
      </c>
      <c r="N286" s="19" t="s">
        <v>1451</v>
      </c>
      <c r="O286" s="19" t="s">
        <v>241</v>
      </c>
      <c r="P286" s="19" t="s">
        <v>1452</v>
      </c>
      <c r="Q286" s="19" t="s">
        <v>1453</v>
      </c>
      <c r="R286" s="19" t="s">
        <v>1454</v>
      </c>
      <c r="S286" s="19"/>
      <c r="T286" s="19" t="s">
        <v>52</v>
      </c>
      <c r="U286" s="19" t="s">
        <v>70</v>
      </c>
      <c r="V286" s="19" t="s">
        <v>54</v>
      </c>
      <c r="W286" s="19" t="s">
        <v>81</v>
      </c>
      <c r="X286" s="19" t="s">
        <v>582</v>
      </c>
      <c r="Y286" s="19" t="s">
        <v>90</v>
      </c>
      <c r="Z286" s="19" t="s">
        <v>1455</v>
      </c>
      <c r="AA286" s="19">
        <v>1</v>
      </c>
      <c r="AB286" s="19">
        <v>1</v>
      </c>
      <c r="AC286" s="19" t="s">
        <v>58</v>
      </c>
      <c r="AD286" s="19" t="s">
        <v>1452</v>
      </c>
      <c r="AE286" s="19" t="s">
        <v>761</v>
      </c>
      <c r="AF286" s="19" t="s">
        <v>1456</v>
      </c>
    </row>
    <row r="287" spans="1:34">
      <c r="A287" s="19">
        <v>279</v>
      </c>
      <c r="B287" s="19" t="s">
        <v>960</v>
      </c>
      <c r="C287" s="19" t="s">
        <v>1457</v>
      </c>
      <c r="D287" s="19" t="str">
        <f>HYPERLINK("http://henontech.com/fieldsafety/harzard/harzard_show.php?rid=3737&amp;url=harzardrecs.php","3#离心机推料盘螺丝缺失，在离心机开车时造成布料斗震动脱落，将一操作工腿部击伤，入院治疗经医生诊断需住院治疗3天在家休养7天。")</f>
        <v>3#离心机推料盘螺丝缺失，在离心机开车时造成布料斗震动脱落，将一操作工腿部击伤，入院治疗经医生诊断需住院治疗3天在家休养7天。</v>
      </c>
      <c r="E287" s="19" t="s">
        <v>1458</v>
      </c>
      <c r="F287" s="20" t="s">
        <v>42</v>
      </c>
      <c r="G287" s="22" t="s">
        <v>64</v>
      </c>
      <c r="H287" s="19" t="s">
        <v>44</v>
      </c>
      <c r="I287" s="19" t="s">
        <v>97</v>
      </c>
      <c r="J287" s="19" t="s">
        <v>45</v>
      </c>
      <c r="K287" s="19"/>
      <c r="L287" s="19"/>
      <c r="M287" s="19" t="s">
        <v>241</v>
      </c>
      <c r="N287" s="19" t="s">
        <v>1459</v>
      </c>
      <c r="O287" s="19" t="s">
        <v>241</v>
      </c>
      <c r="P287" s="19" t="s">
        <v>1452</v>
      </c>
      <c r="Q287" s="19" t="s">
        <v>1453</v>
      </c>
      <c r="R287" s="19" t="s">
        <v>1460</v>
      </c>
      <c r="S287" s="19"/>
      <c r="T287" s="19" t="s">
        <v>52</v>
      </c>
      <c r="U287" s="19" t="s">
        <v>89</v>
      </c>
      <c r="V287" s="19" t="s">
        <v>54</v>
      </c>
      <c r="W287" s="19" t="s">
        <v>72</v>
      </c>
      <c r="X287" s="19" t="s">
        <v>73</v>
      </c>
      <c r="Y287" s="19" t="s">
        <v>73</v>
      </c>
      <c r="Z287" s="19" t="s">
        <v>1461</v>
      </c>
      <c r="AA287" s="19">
        <v>1</v>
      </c>
      <c r="AB287" s="19">
        <v>1</v>
      </c>
      <c r="AC287" s="19" t="s">
        <v>58</v>
      </c>
      <c r="AD287" s="19" t="s">
        <v>1452</v>
      </c>
      <c r="AE287" s="19" t="s">
        <v>761</v>
      </c>
      <c r="AF287" s="19" t="s">
        <v>1462</v>
      </c>
    </row>
    <row r="288" spans="1:34">
      <c r="A288" s="19">
        <v>280</v>
      </c>
      <c r="B288" s="19" t="s">
        <v>960</v>
      </c>
      <c r="C288" s="19" t="s">
        <v>1457</v>
      </c>
      <c r="D288" s="19" t="str">
        <f>HYPERLINK("http://henontech.com/fieldsafety/harzard/harzard_show.php?rid=3738&amp;url=harzardrecs.php","离心吊装平台盖板未恢复到有效位置，平台盖板坠落将楼下走廊一操作工腿部砸伤，立即送往医院救治，经医院诊断腿部骨折需住院治疗10天在家休养90天。")</f>
        <v>离心吊装平台盖板未恢复到有效位置，平台盖板坠落将楼下走廊一操作工腿部砸伤，立即送往医院救治，经医院诊断腿部骨折需住院治疗10天在家休养90天。</v>
      </c>
      <c r="E288" s="19" t="s">
        <v>1463</v>
      </c>
      <c r="F288" s="20" t="s">
        <v>42</v>
      </c>
      <c r="G288" s="22" t="s">
        <v>64</v>
      </c>
      <c r="H288" s="19" t="s">
        <v>44</v>
      </c>
      <c r="I288" s="19" t="s">
        <v>106</v>
      </c>
      <c r="J288" s="19" t="s">
        <v>182</v>
      </c>
      <c r="K288" s="19" t="s">
        <v>170</v>
      </c>
      <c r="L288" s="19"/>
      <c r="M288" s="19" t="s">
        <v>241</v>
      </c>
      <c r="N288" s="19" t="s">
        <v>936</v>
      </c>
      <c r="O288" s="19" t="s">
        <v>241</v>
      </c>
      <c r="P288" s="19" t="s">
        <v>1452</v>
      </c>
      <c r="Q288" s="19" t="s">
        <v>1453</v>
      </c>
      <c r="R288" s="19" t="s">
        <v>1464</v>
      </c>
      <c r="S288" s="19"/>
      <c r="T288" s="19" t="s">
        <v>52</v>
      </c>
      <c r="U288" s="19" t="s">
        <v>89</v>
      </c>
      <c r="V288" s="19" t="s">
        <v>71</v>
      </c>
      <c r="W288" s="19" t="s">
        <v>55</v>
      </c>
      <c r="X288" s="19" t="s">
        <v>1465</v>
      </c>
      <c r="Y288" s="19" t="s">
        <v>1465</v>
      </c>
      <c r="Z288" s="19" t="s">
        <v>1466</v>
      </c>
      <c r="AA288" s="19">
        <v>1</v>
      </c>
      <c r="AB288" s="19">
        <v>1</v>
      </c>
      <c r="AC288" s="19" t="s">
        <v>58</v>
      </c>
      <c r="AD288" s="19" t="s">
        <v>1452</v>
      </c>
      <c r="AE288" s="19" t="s">
        <v>761</v>
      </c>
      <c r="AF288" s="19" t="s">
        <v>1467</v>
      </c>
    </row>
    <row r="289" spans="1:34">
      <c r="A289" s="19">
        <v>281</v>
      </c>
      <c r="B289" s="19" t="s">
        <v>960</v>
      </c>
      <c r="C289" s="19" t="s">
        <v>789</v>
      </c>
      <c r="D289" s="19" t="str">
        <f>HYPERLINK("http://henontech.com/fieldsafety/harzard/harzard_show.php?rid=3739&amp;url=harzardrecs.php","深度处理加药间盐酸管道活节密封圈坏漏液，致使操作人员巡检时面部被盐酸轻微灼伤损工三天。")</f>
        <v>深度处理加药间盐酸管道活节密封圈坏漏液，致使操作人员巡检时面部被盐酸轻微灼伤损工三天。</v>
      </c>
      <c r="E289" s="19" t="s">
        <v>1468</v>
      </c>
      <c r="F289" s="20" t="s">
        <v>42</v>
      </c>
      <c r="G289" s="22" t="s">
        <v>64</v>
      </c>
      <c r="H289" s="19" t="s">
        <v>44</v>
      </c>
      <c r="I289" s="19"/>
      <c r="J289" s="19" t="s">
        <v>45</v>
      </c>
      <c r="K289" s="19"/>
      <c r="L289" s="19"/>
      <c r="M289" s="19" t="s">
        <v>232</v>
      </c>
      <c r="N289" s="19" t="s">
        <v>854</v>
      </c>
      <c r="O289" s="19" t="s">
        <v>232</v>
      </c>
      <c r="P289" s="19" t="s">
        <v>269</v>
      </c>
      <c r="Q289" s="19" t="s">
        <v>732</v>
      </c>
      <c r="R289" s="19" t="s">
        <v>1351</v>
      </c>
      <c r="S289" s="19"/>
      <c r="T289" s="19" t="s">
        <v>52</v>
      </c>
      <c r="U289" s="19" t="s">
        <v>89</v>
      </c>
      <c r="V289" s="19" t="s">
        <v>71</v>
      </c>
      <c r="W289" s="19" t="s">
        <v>55</v>
      </c>
      <c r="X289" s="19" t="s">
        <v>73</v>
      </c>
      <c r="Y289" s="19" t="s">
        <v>73</v>
      </c>
      <c r="Z289" s="19" t="s">
        <v>1469</v>
      </c>
      <c r="AA289" s="19">
        <v>1</v>
      </c>
      <c r="AB289" s="19">
        <v>1</v>
      </c>
      <c r="AC289" s="19" t="s">
        <v>58</v>
      </c>
      <c r="AD289" s="19" t="s">
        <v>269</v>
      </c>
      <c r="AE289" s="19" t="s">
        <v>847</v>
      </c>
      <c r="AF289" s="19"/>
    </row>
    <row r="290" spans="1:34">
      <c r="A290" s="19">
        <v>282</v>
      </c>
      <c r="B290" s="19" t="s">
        <v>960</v>
      </c>
      <c r="C290" s="19" t="s">
        <v>239</v>
      </c>
      <c r="D290" s="19" t="str">
        <f>HYPERLINK("http://henontech.com/fieldsafety/harzard/harzard_show.php?rid=3742&amp;url=harzardrecs.php","碳化一楼处地沟盖板未盖严未起到防护作用，操作工室外巡检时不慎踩空将其脚部扭伤，入院治疗，经医生诊断脚腕骨扭伤需住院治疗2天在家休养4天。")</f>
        <v>碳化一楼处地沟盖板未盖严未起到防护作用，操作工室外巡检时不慎踩空将其脚部扭伤，入院治疗，经医生诊断脚腕骨扭伤需住院治疗2天在家休养4天。</v>
      </c>
      <c r="E290" s="19" t="s">
        <v>1470</v>
      </c>
      <c r="F290" s="20" t="s">
        <v>42</v>
      </c>
      <c r="G290" s="22" t="s">
        <v>64</v>
      </c>
      <c r="H290" s="19" t="s">
        <v>44</v>
      </c>
      <c r="I290" s="19" t="s">
        <v>106</v>
      </c>
      <c r="J290" s="19" t="s">
        <v>182</v>
      </c>
      <c r="K290" s="19" t="s">
        <v>108</v>
      </c>
      <c r="L290" s="19"/>
      <c r="M290" s="19" t="s">
        <v>241</v>
      </c>
      <c r="N290" s="19" t="s">
        <v>1471</v>
      </c>
      <c r="O290" s="19" t="s">
        <v>241</v>
      </c>
      <c r="P290" s="19" t="s">
        <v>1452</v>
      </c>
      <c r="Q290" s="19" t="s">
        <v>1453</v>
      </c>
      <c r="R290" s="19" t="s">
        <v>1472</v>
      </c>
      <c r="S290" s="19"/>
      <c r="T290" s="19" t="s">
        <v>52</v>
      </c>
      <c r="U290" s="19" t="s">
        <v>89</v>
      </c>
      <c r="V290" s="19" t="s">
        <v>54</v>
      </c>
      <c r="W290" s="19" t="s">
        <v>72</v>
      </c>
      <c r="X290" s="19" t="s">
        <v>1465</v>
      </c>
      <c r="Y290" s="19" t="s">
        <v>1465</v>
      </c>
      <c r="Z290" s="19" t="s">
        <v>1473</v>
      </c>
      <c r="AA290" s="19">
        <v>1</v>
      </c>
      <c r="AB290" s="19">
        <v>1</v>
      </c>
      <c r="AC290" s="19" t="s">
        <v>58</v>
      </c>
      <c r="AD290" s="19" t="s">
        <v>1452</v>
      </c>
      <c r="AE290" s="19" t="s">
        <v>761</v>
      </c>
      <c r="AF290" s="19" t="s">
        <v>1474</v>
      </c>
    </row>
    <row r="291" spans="1:34">
      <c r="A291" s="19">
        <v>283</v>
      </c>
      <c r="B291" s="19" t="s">
        <v>960</v>
      </c>
      <c r="C291" s="19" t="s">
        <v>1475</v>
      </c>
      <c r="D291" s="19" t="str">
        <f>HYPERLINK("http://henontech.com/fieldsafety/harzard/harzard_show.php?rid=3743&amp;url=harzardrecs.php","吸氨储备槽入口管线泄漏氨水，一操作工室外操作不慎氨水溅到眼部，大量清水冲洗之后入院治疗，经医院诊断眼部软组织灼伤需在家休养7天")</f>
        <v>吸氨储备槽入口管线泄漏氨水，一操作工室外操作不慎氨水溅到眼部，大量清水冲洗之后入院治疗，经医院诊断眼部软组织灼伤需在家休养7天</v>
      </c>
      <c r="E291" s="19" t="s">
        <v>1476</v>
      </c>
      <c r="F291" s="20" t="s">
        <v>42</v>
      </c>
      <c r="G291" s="22" t="s">
        <v>64</v>
      </c>
      <c r="H291" s="19" t="s">
        <v>44</v>
      </c>
      <c r="I291" s="19" t="s">
        <v>97</v>
      </c>
      <c r="J291" s="19" t="s">
        <v>45</v>
      </c>
      <c r="K291" s="19" t="s">
        <v>108</v>
      </c>
      <c r="L291" s="19"/>
      <c r="M291" s="19" t="s">
        <v>241</v>
      </c>
      <c r="N291" s="19" t="s">
        <v>1452</v>
      </c>
      <c r="O291" s="19" t="s">
        <v>241</v>
      </c>
      <c r="P291" s="19" t="s">
        <v>1452</v>
      </c>
      <c r="Q291" s="19" t="s">
        <v>1453</v>
      </c>
      <c r="R291" s="19" t="s">
        <v>1477</v>
      </c>
      <c r="S291" s="19"/>
      <c r="T291" s="19" t="s">
        <v>52</v>
      </c>
      <c r="U291" s="19" t="s">
        <v>89</v>
      </c>
      <c r="V291" s="19" t="s">
        <v>54</v>
      </c>
      <c r="W291" s="19" t="s">
        <v>72</v>
      </c>
      <c r="X291" s="19" t="s">
        <v>771</v>
      </c>
      <c r="Y291" s="19" t="s">
        <v>771</v>
      </c>
      <c r="Z291" s="19" t="s">
        <v>1478</v>
      </c>
      <c r="AA291" s="19">
        <v>1</v>
      </c>
      <c r="AB291" s="19">
        <v>1</v>
      </c>
      <c r="AC291" s="19" t="s">
        <v>58</v>
      </c>
      <c r="AD291" s="19" t="s">
        <v>1452</v>
      </c>
      <c r="AE291" s="19" t="s">
        <v>761</v>
      </c>
      <c r="AF291" s="19" t="s">
        <v>1479</v>
      </c>
    </row>
    <row r="292" spans="1:34">
      <c r="A292" s="19">
        <v>284</v>
      </c>
      <c r="B292" s="19" t="s">
        <v>960</v>
      </c>
      <c r="C292" s="19" t="s">
        <v>1480</v>
      </c>
      <c r="D292" s="19" t="str">
        <f>HYPERLINK("http://henontech.com/fieldsafety/harzard/harzard_show.php?rid=3745&amp;url=harzardrecs.php","包装机电机接线盒脱落，由于线盒脱落漏电一名操作工操作过程中被电击伤倒地，其他操作人员发现立即切断电源将其移至安全区域，进行心肺复苏并送医院进行抢救，入院抢救无效死亡。")</f>
        <v>包装机电机接线盒脱落，由于线盒脱落漏电一名操作工操作过程中被电击伤倒地，其他操作人员发现立即切断电源将其移至安全区域，进行心肺复苏并送医院进行抢救，入院抢救无效死亡。</v>
      </c>
      <c r="E292" s="19" t="s">
        <v>1481</v>
      </c>
      <c r="F292" s="20" t="s">
        <v>42</v>
      </c>
      <c r="G292" s="22" t="s">
        <v>64</v>
      </c>
      <c r="H292" s="19" t="s">
        <v>44</v>
      </c>
      <c r="I292" s="19"/>
      <c r="J292" s="19" t="s">
        <v>231</v>
      </c>
      <c r="K292" s="19" t="s">
        <v>170</v>
      </c>
      <c r="L292" s="19"/>
      <c r="M292" s="19" t="s">
        <v>241</v>
      </c>
      <c r="N292" s="19" t="s">
        <v>1482</v>
      </c>
      <c r="O292" s="19" t="s">
        <v>241</v>
      </c>
      <c r="P292" s="19" t="s">
        <v>1452</v>
      </c>
      <c r="Q292" s="19" t="s">
        <v>1453</v>
      </c>
      <c r="R292" s="19" t="s">
        <v>1483</v>
      </c>
      <c r="S292" s="19"/>
      <c r="T292" s="19" t="s">
        <v>52</v>
      </c>
      <c r="U292" s="19" t="s">
        <v>53</v>
      </c>
      <c r="V292" s="19" t="s">
        <v>54</v>
      </c>
      <c r="W292" s="19" t="s">
        <v>55</v>
      </c>
      <c r="X292" s="19" t="s">
        <v>364</v>
      </c>
      <c r="Y292" s="19" t="s">
        <v>364</v>
      </c>
      <c r="Z292" s="19" t="s">
        <v>1484</v>
      </c>
      <c r="AA292" s="19">
        <v>1</v>
      </c>
      <c r="AB292" s="19">
        <v>1</v>
      </c>
      <c r="AC292" s="19" t="s">
        <v>58</v>
      </c>
      <c r="AD292" s="19" t="s">
        <v>1452</v>
      </c>
      <c r="AE292" s="19" t="s">
        <v>761</v>
      </c>
      <c r="AF292" s="19" t="s">
        <v>1485</v>
      </c>
    </row>
    <row r="293" spans="1:34">
      <c r="A293" s="19">
        <v>285</v>
      </c>
      <c r="B293" s="19" t="s">
        <v>960</v>
      </c>
      <c r="C293" s="19" t="s">
        <v>501</v>
      </c>
      <c r="D293" s="19" t="str">
        <f>HYPERLINK("http://henontech.com/fieldsafety/harzard/harzard_show.php?rid=3748&amp;url=harzardrecs.php","两盐搅拌器处有蒸汽横管，假如一名操作工在夜间操作时由于灯光视线不足就会被蒸汽横管烫伤右臂，送医务室上药后正常上班。轻微烫伤。")</f>
        <v>两盐搅拌器处有蒸汽横管，假如一名操作工在夜间操作时由于灯光视线不足就会被蒸汽横管烫伤右臂，送医务室上药后正常上班。轻微烫伤。</v>
      </c>
      <c r="E293" s="19" t="s">
        <v>1486</v>
      </c>
      <c r="F293" s="25" t="s">
        <v>828</v>
      </c>
      <c r="G293" s="22" t="s">
        <v>64</v>
      </c>
      <c r="H293" s="19" t="s">
        <v>44</v>
      </c>
      <c r="I293" s="19" t="s">
        <v>119</v>
      </c>
      <c r="J293" s="19" t="s">
        <v>182</v>
      </c>
      <c r="K293" s="19" t="s">
        <v>170</v>
      </c>
      <c r="L293" s="19" t="s">
        <v>99</v>
      </c>
      <c r="M293" s="19" t="s">
        <v>334</v>
      </c>
      <c r="N293" s="19" t="s">
        <v>1487</v>
      </c>
      <c r="O293" s="19" t="s">
        <v>334</v>
      </c>
      <c r="P293" s="19" t="s">
        <v>346</v>
      </c>
      <c r="Q293" s="19" t="s">
        <v>926</v>
      </c>
      <c r="R293" s="19" t="s">
        <v>1488</v>
      </c>
      <c r="S293" s="19"/>
      <c r="T293" s="19" t="s">
        <v>52</v>
      </c>
      <c r="U293" s="19" t="s">
        <v>70</v>
      </c>
      <c r="V293" s="19" t="s">
        <v>71</v>
      </c>
      <c r="W293" s="19" t="s">
        <v>72</v>
      </c>
      <c r="X293" s="19"/>
      <c r="Y293" s="19"/>
      <c r="Z293" s="19" t="s">
        <v>1489</v>
      </c>
      <c r="AA293" s="19">
        <v>1</v>
      </c>
      <c r="AB293" s="19"/>
      <c r="AC293" s="19" t="s">
        <v>103</v>
      </c>
      <c r="AD293" s="19"/>
      <c r="AE293" s="19"/>
      <c r="AF293" s="19"/>
    </row>
    <row r="294" spans="1:34" customHeight="1" ht="42">
      <c r="A294" s="19">
        <v>286</v>
      </c>
      <c r="B294" s="19" t="s">
        <v>960</v>
      </c>
      <c r="C294" s="19" t="s">
        <v>1007</v>
      </c>
      <c r="D294" s="19" t="str">
        <f>HYPERLINK("http://henontech.com/fieldsafety/harzard/harzard_show.php?rid=3749&amp;url=harzardrecs.php","化验室通风橱内电线接头处电气胶带老化松动不粘，旁边冷却水管漏水使接头处进水漏电，化验员擦拭时触电，造成右手手指发麻，触电部位疼痛，休息一会不影响工作。")</f>
        <v>化验室通风橱内电线接头处电气胶带老化松动不粘，旁边冷却水管漏水使接头处进水漏电，化验员擦拭时触电，造成右手手指发麻，触电部位疼痛，休息一会不影响工作。</v>
      </c>
      <c r="E294" s="19" t="s">
        <v>1490</v>
      </c>
      <c r="F294" s="20" t="s">
        <v>42</v>
      </c>
      <c r="G294" s="22" t="s">
        <v>64</v>
      </c>
      <c r="H294" s="19" t="s">
        <v>44</v>
      </c>
      <c r="I294" s="19" t="s">
        <v>106</v>
      </c>
      <c r="J294" s="19" t="s">
        <v>231</v>
      </c>
      <c r="K294" s="19" t="s">
        <v>170</v>
      </c>
      <c r="L294" s="19" t="s">
        <v>99</v>
      </c>
      <c r="M294" s="19" t="s">
        <v>232</v>
      </c>
      <c r="N294" s="19" t="s">
        <v>461</v>
      </c>
      <c r="O294" s="19" t="s">
        <v>232</v>
      </c>
      <c r="P294" s="19" t="s">
        <v>269</v>
      </c>
      <c r="Q294" s="19" t="s">
        <v>932</v>
      </c>
      <c r="R294" s="19" t="s">
        <v>1491</v>
      </c>
      <c r="S294" s="19"/>
      <c r="T294" s="19" t="s">
        <v>52</v>
      </c>
      <c r="U294" s="19" t="s">
        <v>79</v>
      </c>
      <c r="V294" s="19" t="s">
        <v>54</v>
      </c>
      <c r="W294" s="19" t="s">
        <v>81</v>
      </c>
      <c r="X294" s="19" t="s">
        <v>73</v>
      </c>
      <c r="Y294" s="19" t="s">
        <v>73</v>
      </c>
      <c r="Z294" s="19" t="s">
        <v>1492</v>
      </c>
      <c r="AA294" s="19">
        <v>2</v>
      </c>
      <c r="AB294" s="19">
        <v>2</v>
      </c>
      <c r="AC294" s="19" t="s">
        <v>58</v>
      </c>
      <c r="AD294" s="19" t="s">
        <v>269</v>
      </c>
      <c r="AE294" s="19" t="s">
        <v>847</v>
      </c>
      <c r="AF294" s="19"/>
    </row>
    <row r="295" spans="1:34">
      <c r="A295" s="19">
        <v>287</v>
      </c>
      <c r="B295" s="19" t="s">
        <v>960</v>
      </c>
      <c r="C295" s="19" t="s">
        <v>1493</v>
      </c>
      <c r="D295" s="19" t="str">
        <f>HYPERLINK("http://henontech.com/fieldsafety/harzard/harzard_show.php?rid=3750&amp;url=harzardrecs.php","操作室北路口【禁止通行】栏杆一端放在路旁路牙石上，假如一名操作工经过此处，栏杆倾倒正好砸在其右脚上，送医务室简单处理，脚面肿痛，行动不便，在家休息五日。")</f>
        <v>操作室北路口【禁止通行】栏杆一端放在路旁路牙石上，假如一名操作工经过此处，栏杆倾倒正好砸在其右脚上，送医务室简单处理，脚面肿痛，行动不便，在家休息五日。</v>
      </c>
      <c r="E295" s="19" t="s">
        <v>1494</v>
      </c>
      <c r="F295" s="20" t="s">
        <v>42</v>
      </c>
      <c r="G295" s="22" t="s">
        <v>64</v>
      </c>
      <c r="H295" s="19" t="s">
        <v>44</v>
      </c>
      <c r="I295" s="19" t="s">
        <v>97</v>
      </c>
      <c r="J295" s="19" t="s">
        <v>45</v>
      </c>
      <c r="K295" s="19" t="s">
        <v>98</v>
      </c>
      <c r="L295" s="19" t="s">
        <v>99</v>
      </c>
      <c r="M295" s="19" t="s">
        <v>334</v>
      </c>
      <c r="N295" s="19" t="s">
        <v>1495</v>
      </c>
      <c r="O295" s="19" t="s">
        <v>334</v>
      </c>
      <c r="P295" s="19" t="s">
        <v>346</v>
      </c>
      <c r="Q295" s="19" t="s">
        <v>1286</v>
      </c>
      <c r="R295" s="19" t="s">
        <v>1496</v>
      </c>
      <c r="S295" s="19"/>
      <c r="T295" s="19" t="s">
        <v>52</v>
      </c>
      <c r="U295" s="19" t="s">
        <v>89</v>
      </c>
      <c r="V295" s="19" t="s">
        <v>54</v>
      </c>
      <c r="W295" s="19" t="s">
        <v>72</v>
      </c>
      <c r="X295" s="19"/>
      <c r="Y295" s="19"/>
      <c r="Z295" s="19" t="s">
        <v>1497</v>
      </c>
      <c r="AA295" s="19">
        <v>1</v>
      </c>
      <c r="AB295" s="19">
        <v>1</v>
      </c>
      <c r="AC295" s="19" t="s">
        <v>58</v>
      </c>
      <c r="AD295" s="19" t="s">
        <v>346</v>
      </c>
      <c r="AE295" s="19" t="s">
        <v>807</v>
      </c>
      <c r="AF295" s="19"/>
    </row>
    <row r="296" spans="1:34">
      <c r="A296" s="19">
        <v>288</v>
      </c>
      <c r="B296" s="19" t="s">
        <v>823</v>
      </c>
      <c r="C296" s="19" t="s">
        <v>981</v>
      </c>
      <c r="D296" s="19" t="str">
        <f>HYPERLINK("http://henontech.com/fieldsafety/harzard/harzard_show.php?rid=3754&amp;url=harzardrecs.php","2＃站8000m3提升泵线管老化导致电缆裸露，操作人员在进行开停泵时触电，送医经诊断触电死亡。")</f>
        <v>2＃站8000m3提升泵线管老化导致电缆裸露，操作人员在进行开停泵时触电，送医经诊断触电死亡。</v>
      </c>
      <c r="E296" s="19" t="s">
        <v>1498</v>
      </c>
      <c r="F296" s="20" t="s">
        <v>42</v>
      </c>
      <c r="G296" s="22" t="s">
        <v>64</v>
      </c>
      <c r="H296" s="19" t="s">
        <v>44</v>
      </c>
      <c r="I296" s="19" t="s">
        <v>119</v>
      </c>
      <c r="J296" s="19" t="s">
        <v>45</v>
      </c>
      <c r="K296" s="19" t="s">
        <v>108</v>
      </c>
      <c r="L296" s="19"/>
      <c r="M296" s="19" t="s">
        <v>232</v>
      </c>
      <c r="N296" s="19" t="s">
        <v>1499</v>
      </c>
      <c r="O296" s="19" t="s">
        <v>232</v>
      </c>
      <c r="P296" s="19" t="s">
        <v>269</v>
      </c>
      <c r="Q296" s="19" t="s">
        <v>732</v>
      </c>
      <c r="R296" s="19" t="s">
        <v>1500</v>
      </c>
      <c r="S296" s="19"/>
      <c r="T296" s="19" t="s">
        <v>52</v>
      </c>
      <c r="U296" s="19" t="s">
        <v>53</v>
      </c>
      <c r="V296" s="19" t="s">
        <v>71</v>
      </c>
      <c r="W296" s="19" t="s">
        <v>116</v>
      </c>
      <c r="X296" s="19" t="s">
        <v>73</v>
      </c>
      <c r="Y296" s="19" t="s">
        <v>73</v>
      </c>
      <c r="Z296" s="19" t="s">
        <v>1501</v>
      </c>
      <c r="AA296" s="19">
        <v>1</v>
      </c>
      <c r="AB296" s="19">
        <v>1</v>
      </c>
      <c r="AC296" s="19" t="s">
        <v>58</v>
      </c>
      <c r="AD296" s="19" t="s">
        <v>269</v>
      </c>
      <c r="AE296" s="19" t="s">
        <v>847</v>
      </c>
      <c r="AF296" s="19"/>
    </row>
    <row r="297" spans="1:34">
      <c r="A297" s="19">
        <v>289</v>
      </c>
      <c r="B297" s="19" t="s">
        <v>823</v>
      </c>
      <c r="C297" s="19" t="s">
        <v>789</v>
      </c>
      <c r="D297" s="19" t="str">
        <f>HYPERLINK("http://henontech.com/fieldsafety/harzard/harzard_show.php?rid=3755&amp;url=harzardrecs.php","深度处理反渗透装置，配电箱内尘土过多，高压泵变频器无法散热烧坏，导致反渗透两套装置无法启动，后序污水无法处理。引起安全环保事故，公司通报批评。")</f>
        <v>深度处理反渗透装置，配电箱内尘土过多，高压泵变频器无法散热烧坏，导致反渗透两套装置无法启动，后序污水无法处理。引起安全环保事故，公司通报批评。</v>
      </c>
      <c r="E297" s="19" t="s">
        <v>1502</v>
      </c>
      <c r="F297" s="20" t="s">
        <v>42</v>
      </c>
      <c r="G297" s="22" t="s">
        <v>64</v>
      </c>
      <c r="H297" s="19" t="s">
        <v>44</v>
      </c>
      <c r="I297" s="19"/>
      <c r="J297" s="19" t="s">
        <v>107</v>
      </c>
      <c r="K297" s="19"/>
      <c r="L297" s="19"/>
      <c r="M297" s="19" t="s">
        <v>232</v>
      </c>
      <c r="N297" s="19" t="s">
        <v>417</v>
      </c>
      <c r="O297" s="19" t="s">
        <v>232</v>
      </c>
      <c r="P297" s="19" t="s">
        <v>269</v>
      </c>
      <c r="Q297" s="19" t="s">
        <v>932</v>
      </c>
      <c r="R297" s="19" t="s">
        <v>1503</v>
      </c>
      <c r="S297" s="19"/>
      <c r="T297" s="19" t="s">
        <v>200</v>
      </c>
      <c r="U297" s="19" t="s">
        <v>70</v>
      </c>
      <c r="V297" s="19" t="s">
        <v>71</v>
      </c>
      <c r="W297" s="19" t="s">
        <v>72</v>
      </c>
      <c r="X297" s="19" t="s">
        <v>73</v>
      </c>
      <c r="Y297" s="19" t="s">
        <v>73</v>
      </c>
      <c r="Z297" s="19" t="s">
        <v>1504</v>
      </c>
      <c r="AA297" s="19">
        <v>1</v>
      </c>
      <c r="AB297" s="19">
        <v>1</v>
      </c>
      <c r="AC297" s="19" t="s">
        <v>58</v>
      </c>
      <c r="AD297" s="19" t="s">
        <v>269</v>
      </c>
      <c r="AE297" s="19" t="s">
        <v>847</v>
      </c>
      <c r="AF297" s="19"/>
    </row>
    <row r="298" spans="1:34">
      <c r="A298" s="19">
        <v>290</v>
      </c>
      <c r="B298" s="19" t="s">
        <v>823</v>
      </c>
      <c r="C298" s="19" t="s">
        <v>563</v>
      </c>
      <c r="D298" s="19" t="str">
        <f>HYPERLINK("http://henontech.com/fieldsafety/harzard/harzard_show.php?rid=3771&amp;url=harzardrecs.php","一名维修工在检修煤气水封吋，因移动爬梯没设监护人，爬梯侧滑，致维修工从3米高处摔落地面受伤，送医院检查确诊为左小腿骨折，住院治疗10天，回家休养90天后复工。。")</f>
        <v>一名维修工在检修煤气水封吋，因移动爬梯没设监护人，爬梯侧滑，致维修工从3米高处摔落地面受伤，送医院检查确诊为左小腿骨折，住院治疗10天，回家休养90天后复工。。</v>
      </c>
      <c r="E298" s="19" t="s">
        <v>1505</v>
      </c>
      <c r="F298" s="20" t="s">
        <v>42</v>
      </c>
      <c r="G298" s="21" t="s">
        <v>43</v>
      </c>
      <c r="H298" s="19" t="s">
        <v>44</v>
      </c>
      <c r="I298" s="19" t="s">
        <v>106</v>
      </c>
      <c r="J298" s="19" t="s">
        <v>45</v>
      </c>
      <c r="K298" s="19" t="s">
        <v>108</v>
      </c>
      <c r="L298" s="19" t="s">
        <v>99</v>
      </c>
      <c r="M298" s="19" t="s">
        <v>565</v>
      </c>
      <c r="N298" s="19" t="s">
        <v>1506</v>
      </c>
      <c r="O298" s="19" t="s">
        <v>565</v>
      </c>
      <c r="P298" s="19" t="s">
        <v>627</v>
      </c>
      <c r="Q298" s="19" t="s">
        <v>1012</v>
      </c>
      <c r="R298" s="19" t="s">
        <v>1507</v>
      </c>
      <c r="S298" s="19"/>
      <c r="T298" s="19" t="s">
        <v>52</v>
      </c>
      <c r="U298" s="19" t="s">
        <v>89</v>
      </c>
      <c r="V298" s="19" t="s">
        <v>71</v>
      </c>
      <c r="W298" s="19" t="s">
        <v>55</v>
      </c>
      <c r="X298" s="19"/>
      <c r="Y298" s="19"/>
      <c r="Z298" s="19" t="s">
        <v>1508</v>
      </c>
      <c r="AA298" s="19">
        <v>1</v>
      </c>
      <c r="AB298" s="19">
        <v>1</v>
      </c>
      <c r="AC298" s="19" t="s">
        <v>58</v>
      </c>
      <c r="AD298" s="19" t="s">
        <v>627</v>
      </c>
      <c r="AE298" s="19" t="s">
        <v>1012</v>
      </c>
      <c r="AF298" s="19"/>
    </row>
    <row r="299" spans="1:34">
      <c r="A299" s="19">
        <v>291</v>
      </c>
      <c r="B299" s="19" t="s">
        <v>823</v>
      </c>
      <c r="C299" s="19" t="s">
        <v>578</v>
      </c>
      <c r="D299" s="19" t="str">
        <f>HYPERLINK("http://henontech.com/fieldsafety/harzard/harzard_show.php?rid=3772&amp;url=harzardrecs.php","一名员工在采用两个凳子摞叠作业时，因无人监护不慎翻落，导致右臂受伤，送医确诊为右小臂骨折，住院治疗15天，回家休养90天后复工，")</f>
        <v>一名员工在采用两个凳子摞叠作业时，因无人监护不慎翻落，导致右臂受伤，送医确诊为右小臂骨折，住院治疗15天，回家休养90天后复工，</v>
      </c>
      <c r="E299" s="19" t="s">
        <v>1509</v>
      </c>
      <c r="F299" s="20" t="s">
        <v>42</v>
      </c>
      <c r="G299" s="21" t="s">
        <v>43</v>
      </c>
      <c r="H299" s="19" t="s">
        <v>44</v>
      </c>
      <c r="I299" s="19" t="s">
        <v>192</v>
      </c>
      <c r="J299" s="19" t="s">
        <v>182</v>
      </c>
      <c r="K299" s="19" t="s">
        <v>170</v>
      </c>
      <c r="L299" s="19" t="s">
        <v>252</v>
      </c>
      <c r="M299" s="19" t="s">
        <v>565</v>
      </c>
      <c r="N299" s="19" t="s">
        <v>1510</v>
      </c>
      <c r="O299" s="19" t="s">
        <v>565</v>
      </c>
      <c r="P299" s="19" t="s">
        <v>627</v>
      </c>
      <c r="Q299" s="19" t="s">
        <v>1012</v>
      </c>
      <c r="R299" s="19" t="s">
        <v>581</v>
      </c>
      <c r="S299" s="19"/>
      <c r="T299" s="19" t="s">
        <v>52</v>
      </c>
      <c r="U299" s="19" t="s">
        <v>89</v>
      </c>
      <c r="V299" s="19" t="s">
        <v>71</v>
      </c>
      <c r="W299" s="19" t="s">
        <v>55</v>
      </c>
      <c r="X299" s="19"/>
      <c r="Y299" s="19"/>
      <c r="Z299" s="19" t="s">
        <v>1511</v>
      </c>
      <c r="AA299" s="19">
        <v>1</v>
      </c>
      <c r="AB299" s="19">
        <v>1</v>
      </c>
      <c r="AC299" s="19" t="s">
        <v>58</v>
      </c>
      <c r="AD299" s="19" t="s">
        <v>627</v>
      </c>
      <c r="AE299" s="19" t="s">
        <v>1012</v>
      </c>
      <c r="AF299" s="19"/>
    </row>
    <row r="300" spans="1:34" customHeight="1" ht="42">
      <c r="A300" s="19">
        <v>292</v>
      </c>
      <c r="B300" s="19" t="s">
        <v>1512</v>
      </c>
      <c r="C300" s="19" t="s">
        <v>1513</v>
      </c>
      <c r="D300" s="19" t="str">
        <f>HYPERLINK("http://henontech.com/fieldsafety/harzard/harzard_show.php?rid=3774&amp;url=harzardrecs.php","液氨罐区南侧地沟盖板破损，一名巡检人员在夜班巡检时，因视线不良，踩在破损盖板上，不慎将脚腕扭伤，造成脚部红肿，行走不便，送医务室处理，休息一天后复工。")</f>
        <v>液氨罐区南侧地沟盖板破损，一名巡检人员在夜班巡检时，因视线不良，踩在破损盖板上，不慎将脚腕扭伤，造成脚部红肿，行走不便，送医务室处理，休息一天后复工。</v>
      </c>
      <c r="E300" s="19" t="s">
        <v>1514</v>
      </c>
      <c r="F300" s="20" t="s">
        <v>42</v>
      </c>
      <c r="G300" s="22" t="s">
        <v>64</v>
      </c>
      <c r="H300" s="19" t="s">
        <v>44</v>
      </c>
      <c r="I300" s="19" t="s">
        <v>106</v>
      </c>
      <c r="J300" s="19" t="s">
        <v>175</v>
      </c>
      <c r="K300" s="19" t="s">
        <v>108</v>
      </c>
      <c r="L300" s="19" t="s">
        <v>99</v>
      </c>
      <c r="M300" s="19" t="s">
        <v>241</v>
      </c>
      <c r="N300" s="19" t="s">
        <v>1515</v>
      </c>
      <c r="O300" s="19" t="s">
        <v>241</v>
      </c>
      <c r="P300" s="19" t="s">
        <v>1516</v>
      </c>
      <c r="Q300" s="19" t="s">
        <v>1517</v>
      </c>
      <c r="R300" s="19" t="s">
        <v>1518</v>
      </c>
      <c r="S300" s="19"/>
      <c r="T300" s="19" t="s">
        <v>52</v>
      </c>
      <c r="U300" s="19" t="s">
        <v>70</v>
      </c>
      <c r="V300" s="19" t="s">
        <v>54</v>
      </c>
      <c r="W300" s="19" t="s">
        <v>81</v>
      </c>
      <c r="X300" s="19" t="s">
        <v>284</v>
      </c>
      <c r="Y300" s="19" t="s">
        <v>284</v>
      </c>
      <c r="Z300" s="19" t="s">
        <v>1519</v>
      </c>
      <c r="AA300" s="19">
        <v>2</v>
      </c>
      <c r="AB300" s="19">
        <v>1</v>
      </c>
      <c r="AC300" s="19" t="s">
        <v>58</v>
      </c>
      <c r="AD300" s="19" t="s">
        <v>1516</v>
      </c>
      <c r="AE300" s="19" t="s">
        <v>819</v>
      </c>
      <c r="AF300" s="19" t="s">
        <v>1520</v>
      </c>
    </row>
    <row r="301" spans="1:34">
      <c r="A301" s="19">
        <v>293</v>
      </c>
      <c r="B301" s="19" t="s">
        <v>1512</v>
      </c>
      <c r="C301" s="19" t="s">
        <v>563</v>
      </c>
      <c r="D301" s="19" t="str">
        <f>HYPERLINK("http://henontech.com/fieldsafety/harzard/harzard_show.php?rid=3788&amp;url=harzardrecs.php","东四南侧吊装门未关，一名操作工经过爬梯时，头部碰到门上，跌落爬梯造成左腿小腿骨折，住院治疗10天，回家休养2个月。")</f>
        <v>东四南侧吊装门未关，一名操作工经过爬梯时，头部碰到门上，跌落爬梯造成左腿小腿骨折，住院治疗10天，回家休养2个月。</v>
      </c>
      <c r="E301" s="19" t="s">
        <v>1521</v>
      </c>
      <c r="F301" s="20" t="s">
        <v>42</v>
      </c>
      <c r="G301" s="22" t="s">
        <v>64</v>
      </c>
      <c r="H301" s="19" t="s">
        <v>44</v>
      </c>
      <c r="I301" s="19" t="s">
        <v>119</v>
      </c>
      <c r="J301" s="19"/>
      <c r="K301" s="19" t="s">
        <v>170</v>
      </c>
      <c r="L301" s="19" t="s">
        <v>99</v>
      </c>
      <c r="M301" s="19" t="s">
        <v>565</v>
      </c>
      <c r="N301" s="19" t="s">
        <v>1522</v>
      </c>
      <c r="O301" s="19" t="s">
        <v>565</v>
      </c>
      <c r="P301" s="19" t="s">
        <v>566</v>
      </c>
      <c r="Q301" s="19" t="s">
        <v>759</v>
      </c>
      <c r="R301" s="19" t="s">
        <v>1317</v>
      </c>
      <c r="S301" s="19"/>
      <c r="T301" s="19" t="s">
        <v>52</v>
      </c>
      <c r="U301" s="19" t="s">
        <v>89</v>
      </c>
      <c r="V301" s="19" t="s">
        <v>71</v>
      </c>
      <c r="W301" s="19" t="s">
        <v>55</v>
      </c>
      <c r="X301" s="19"/>
      <c r="Y301" s="19"/>
      <c r="Z301" s="19" t="s">
        <v>1523</v>
      </c>
      <c r="AA301" s="19">
        <v>1</v>
      </c>
      <c r="AB301" s="19">
        <v>1</v>
      </c>
      <c r="AC301" s="19" t="s">
        <v>58</v>
      </c>
      <c r="AD301" s="19" t="s">
        <v>566</v>
      </c>
      <c r="AE301" s="19" t="s">
        <v>1512</v>
      </c>
      <c r="AF301" s="19"/>
    </row>
    <row r="302" spans="1:34">
      <c r="A302" s="19">
        <v>294</v>
      </c>
      <c r="B302" s="19" t="s">
        <v>1512</v>
      </c>
      <c r="C302" s="19" t="s">
        <v>563</v>
      </c>
      <c r="D302" s="19" t="str">
        <f>HYPERLINK("http://henontech.com/fieldsafety/harzard/harzard_show.php?rid=3789&amp;url=harzardrecs.php","对讲机垫着本子等易燃物充电，由于线路老化漏电，将可燃物引燃，进而引发了火灾。")</f>
        <v>对讲机垫着本子等易燃物充电，由于线路老化漏电，将可燃物引燃，进而引发了火灾。</v>
      </c>
      <c r="E302" s="19" t="s">
        <v>1524</v>
      </c>
      <c r="F302" s="20" t="s">
        <v>42</v>
      </c>
      <c r="G302" s="21" t="s">
        <v>43</v>
      </c>
      <c r="H302" s="19" t="s">
        <v>44</v>
      </c>
      <c r="I302" s="19" t="s">
        <v>119</v>
      </c>
      <c r="J302" s="19"/>
      <c r="K302" s="19"/>
      <c r="L302" s="19"/>
      <c r="M302" s="19" t="s">
        <v>565</v>
      </c>
      <c r="N302" s="19" t="s">
        <v>1268</v>
      </c>
      <c r="O302" s="19" t="s">
        <v>565</v>
      </c>
      <c r="P302" s="19" t="s">
        <v>566</v>
      </c>
      <c r="Q302" s="19" t="s">
        <v>759</v>
      </c>
      <c r="R302" s="19" t="s">
        <v>1525</v>
      </c>
      <c r="S302" s="19"/>
      <c r="T302" s="19" t="s">
        <v>78</v>
      </c>
      <c r="U302" s="19" t="s">
        <v>79</v>
      </c>
      <c r="V302" s="19" t="s">
        <v>71</v>
      </c>
      <c r="W302" s="19" t="s">
        <v>81</v>
      </c>
      <c r="X302" s="19" t="s">
        <v>90</v>
      </c>
      <c r="Y302" s="19"/>
      <c r="Z302" s="19" t="s">
        <v>1526</v>
      </c>
      <c r="AA302" s="19">
        <v>1</v>
      </c>
      <c r="AB302" s="19">
        <v>1</v>
      </c>
      <c r="AC302" s="19" t="s">
        <v>58</v>
      </c>
      <c r="AD302" s="19" t="s">
        <v>566</v>
      </c>
      <c r="AE302" s="19" t="s">
        <v>1512</v>
      </c>
      <c r="AF302" s="19"/>
    </row>
    <row r="303" spans="1:34">
      <c r="A303" s="19">
        <v>295</v>
      </c>
      <c r="B303" s="19" t="s">
        <v>1512</v>
      </c>
      <c r="C303" s="19" t="s">
        <v>563</v>
      </c>
      <c r="D303" s="19" t="str">
        <f>HYPERLINK("http://henontech.com/fieldsafety/harzard/harzard_show.php?rid=3790&amp;url=harzardrecs.php","扳手用完未定置摆放，斜放在桌子边缘。一员工经过时，不慎将扳手蹭落，砸伤右脚。送医院检查，右脚小指骨折，住院10天，在家修养3个月")</f>
        <v>扳手用完未定置摆放，斜放在桌子边缘。一员工经过时，不慎将扳手蹭落，砸伤右脚。送医院检查，右脚小指骨折，住院10天，在家修养3个月</v>
      </c>
      <c r="E303" s="19" t="s">
        <v>1527</v>
      </c>
      <c r="F303" s="20" t="s">
        <v>42</v>
      </c>
      <c r="G303" s="21" t="s">
        <v>43</v>
      </c>
      <c r="H303" s="19" t="s">
        <v>44</v>
      </c>
      <c r="I303" s="19" t="s">
        <v>119</v>
      </c>
      <c r="J303" s="19"/>
      <c r="K303" s="19"/>
      <c r="L303" s="19"/>
      <c r="M303" s="19" t="s">
        <v>565</v>
      </c>
      <c r="N303" s="19" t="s">
        <v>1528</v>
      </c>
      <c r="O303" s="19" t="s">
        <v>565</v>
      </c>
      <c r="P303" s="19" t="s">
        <v>566</v>
      </c>
      <c r="Q303" s="19" t="s">
        <v>759</v>
      </c>
      <c r="R303" s="19" t="s">
        <v>1529</v>
      </c>
      <c r="S303" s="19"/>
      <c r="T303" s="19" t="s">
        <v>52</v>
      </c>
      <c r="U303" s="19" t="s">
        <v>89</v>
      </c>
      <c r="V303" s="19" t="s">
        <v>71</v>
      </c>
      <c r="W303" s="19" t="s">
        <v>55</v>
      </c>
      <c r="X303" s="19" t="s">
        <v>90</v>
      </c>
      <c r="Y303" s="19"/>
      <c r="Z303" s="19" t="s">
        <v>1530</v>
      </c>
      <c r="AA303" s="19">
        <v>1</v>
      </c>
      <c r="AB303" s="19">
        <v>1</v>
      </c>
      <c r="AC303" s="19" t="s">
        <v>58</v>
      </c>
      <c r="AD303" s="19" t="s">
        <v>566</v>
      </c>
      <c r="AE303" s="19" t="s">
        <v>1512</v>
      </c>
      <c r="AF303" s="19"/>
    </row>
    <row r="304" spans="1:34" customHeight="1" ht="42">
      <c r="A304" s="19">
        <v>296</v>
      </c>
      <c r="B304" s="19" t="s">
        <v>1512</v>
      </c>
      <c r="C304" s="19" t="s">
        <v>1531</v>
      </c>
      <c r="D304" s="19" t="str">
        <f>HYPERLINK("http://henontech.com/fieldsafety/harzard/harzard_show.php?rid=3803&amp;url=harzardrecs.php","轴流风机管道破裂，造成当焦炉地下室煤气泄漏时无法正常排出室外")</f>
        <v>轴流风机管道破裂，造成当焦炉地下室煤气泄漏时无法正常排出室外</v>
      </c>
      <c r="E304" s="19" t="s">
        <v>1532</v>
      </c>
      <c r="F304" s="25" t="s">
        <v>828</v>
      </c>
      <c r="G304" s="22" t="s">
        <v>64</v>
      </c>
      <c r="H304" s="19" t="s">
        <v>44</v>
      </c>
      <c r="I304" s="19" t="s">
        <v>97</v>
      </c>
      <c r="J304" s="19" t="s">
        <v>45</v>
      </c>
      <c r="K304" s="19" t="s">
        <v>170</v>
      </c>
      <c r="L304" s="19" t="s">
        <v>99</v>
      </c>
      <c r="M304" s="19" t="s">
        <v>46</v>
      </c>
      <c r="N304" s="19" t="s">
        <v>442</v>
      </c>
      <c r="O304" s="19" t="s">
        <v>46</v>
      </c>
      <c r="P304" s="19" t="s">
        <v>134</v>
      </c>
      <c r="Q304" s="19" t="s">
        <v>1326</v>
      </c>
      <c r="R304" s="19" t="s">
        <v>1533</v>
      </c>
      <c r="S304" s="19"/>
      <c r="T304" s="19" t="s">
        <v>52</v>
      </c>
      <c r="U304" s="19" t="s">
        <v>53</v>
      </c>
      <c r="V304" s="19" t="s">
        <v>54</v>
      </c>
      <c r="W304" s="19" t="s">
        <v>55</v>
      </c>
      <c r="X304" s="19" t="s">
        <v>73</v>
      </c>
      <c r="Y304" s="19"/>
      <c r="Z304" s="19" t="s">
        <v>1534</v>
      </c>
      <c r="AA304" s="19">
        <v>2</v>
      </c>
      <c r="AB304" s="19"/>
      <c r="AC304" s="19" t="s">
        <v>103</v>
      </c>
      <c r="AD304" s="19"/>
      <c r="AE304" s="19"/>
      <c r="AF304" s="19"/>
    </row>
    <row r="305" spans="1:34">
      <c r="A305" s="19">
        <v>297</v>
      </c>
      <c r="B305" s="19" t="s">
        <v>1512</v>
      </c>
      <c r="C305" s="19" t="s">
        <v>741</v>
      </c>
      <c r="D305" s="19" t="str">
        <f>HYPERLINK("http://henontech.com/fieldsafety/harzard/harzard_show.php?rid=3808&amp;url=harzardrecs.php","西硫铵二楼平台蒸汽阀门垫子损坏冒蒸汽，如果操作人员在操作时烫伤腿部，在家修养三天恢复，造成一人损工事故")</f>
        <v>西硫铵二楼平台蒸汽阀门垫子损坏冒蒸汽，如果操作人员在操作时烫伤腿部，在家修养三天恢复，造成一人损工事故</v>
      </c>
      <c r="E305" s="19" t="s">
        <v>1535</v>
      </c>
      <c r="F305" s="20" t="s">
        <v>42</v>
      </c>
      <c r="G305" s="22" t="s">
        <v>64</v>
      </c>
      <c r="H305" s="19" t="s">
        <v>44</v>
      </c>
      <c r="I305" s="19" t="s">
        <v>119</v>
      </c>
      <c r="J305" s="19" t="s">
        <v>45</v>
      </c>
      <c r="K305" s="19" t="s">
        <v>108</v>
      </c>
      <c r="L305" s="19" t="s">
        <v>99</v>
      </c>
      <c r="M305" s="19" t="s">
        <v>334</v>
      </c>
      <c r="N305" s="19" t="s">
        <v>1320</v>
      </c>
      <c r="O305" s="19" t="s">
        <v>334</v>
      </c>
      <c r="P305" s="19" t="s">
        <v>346</v>
      </c>
      <c r="Q305" s="19" t="s">
        <v>1286</v>
      </c>
      <c r="R305" s="19" t="s">
        <v>1536</v>
      </c>
      <c r="S305" s="19"/>
      <c r="T305" s="19" t="s">
        <v>52</v>
      </c>
      <c r="U305" s="19" t="s">
        <v>89</v>
      </c>
      <c r="V305" s="19" t="s">
        <v>71</v>
      </c>
      <c r="W305" s="19" t="s">
        <v>55</v>
      </c>
      <c r="X305" s="19"/>
      <c r="Y305" s="19"/>
      <c r="Z305" s="19" t="s">
        <v>1537</v>
      </c>
      <c r="AA305" s="19">
        <v>1</v>
      </c>
      <c r="AB305" s="19">
        <v>1</v>
      </c>
      <c r="AC305" s="19" t="s">
        <v>58</v>
      </c>
      <c r="AD305" s="19" t="s">
        <v>346</v>
      </c>
      <c r="AE305" s="19" t="s">
        <v>807</v>
      </c>
      <c r="AF305" s="19"/>
    </row>
    <row r="306" spans="1:34">
      <c r="A306" s="19">
        <v>298</v>
      </c>
      <c r="B306" s="19" t="s">
        <v>1512</v>
      </c>
      <c r="C306" s="19" t="s">
        <v>981</v>
      </c>
      <c r="D306" s="19" t="str">
        <f>HYPERLINK("http://henontech.com/fieldsafety/harzard/harzard_show.php?rid=3809&amp;url=harzardrecs.php","一名职工巡检时发现硫酸计量泵处地面有液体泄漏并伴有刺激性气味导致呼吸困难")</f>
        <v>一名职工巡检时发现硫酸计量泵处地面有液体泄漏并伴有刺激性气味导致呼吸困难</v>
      </c>
      <c r="E306" s="19" t="s">
        <v>1538</v>
      </c>
      <c r="F306" s="20" t="s">
        <v>42</v>
      </c>
      <c r="G306" s="22" t="s">
        <v>64</v>
      </c>
      <c r="H306" s="19" t="s">
        <v>44</v>
      </c>
      <c r="I306" s="19" t="s">
        <v>97</v>
      </c>
      <c r="J306" s="19" t="s">
        <v>45</v>
      </c>
      <c r="K306" s="19" t="s">
        <v>170</v>
      </c>
      <c r="L306" s="19"/>
      <c r="M306" s="19" t="s">
        <v>232</v>
      </c>
      <c r="N306" s="19" t="s">
        <v>983</v>
      </c>
      <c r="O306" s="19" t="s">
        <v>232</v>
      </c>
      <c r="P306" s="19" t="s">
        <v>269</v>
      </c>
      <c r="Q306" s="19" t="s">
        <v>1539</v>
      </c>
      <c r="R306" s="19" t="s">
        <v>1540</v>
      </c>
      <c r="S306" s="19"/>
      <c r="T306" s="19" t="s">
        <v>52</v>
      </c>
      <c r="U306" s="19" t="s">
        <v>70</v>
      </c>
      <c r="V306" s="19" t="s">
        <v>80</v>
      </c>
      <c r="W306" s="19" t="s">
        <v>55</v>
      </c>
      <c r="X306" s="19" t="s">
        <v>73</v>
      </c>
      <c r="Y306" s="19" t="s">
        <v>73</v>
      </c>
      <c r="Z306" s="19" t="s">
        <v>1541</v>
      </c>
      <c r="AA306" s="19">
        <v>1</v>
      </c>
      <c r="AB306" s="19">
        <v>0</v>
      </c>
      <c r="AC306" s="19" t="s">
        <v>58</v>
      </c>
      <c r="AD306" s="19" t="s">
        <v>269</v>
      </c>
      <c r="AE306" s="19" t="s">
        <v>1187</v>
      </c>
      <c r="AF306" s="19"/>
    </row>
    <row r="307" spans="1:34" customHeight="1" ht="42">
      <c r="A307" s="19">
        <v>299</v>
      </c>
      <c r="B307" s="19" t="s">
        <v>1012</v>
      </c>
      <c r="C307" s="19" t="s">
        <v>563</v>
      </c>
      <c r="D307" s="19" t="str">
        <f>HYPERLINK("http://henontech.com/fieldsafety/harzard/harzard_show.php?rid=3811&amp;url=harzardrecs.php","东五清扫器挡皮磨损严重，在设备运转过程中划伤皮带，当班维修正常使用。造成财产损失2000元。")</f>
        <v>东五清扫器挡皮磨损严重，在设备运转过程中划伤皮带，当班维修正常使用。造成财产损失2000元。</v>
      </c>
      <c r="E307" s="19" t="s">
        <v>1542</v>
      </c>
      <c r="F307" s="20" t="s">
        <v>42</v>
      </c>
      <c r="G307" s="21" t="s">
        <v>43</v>
      </c>
      <c r="H307" s="19" t="s">
        <v>44</v>
      </c>
      <c r="I307" s="19" t="s">
        <v>97</v>
      </c>
      <c r="J307" s="19" t="s">
        <v>45</v>
      </c>
      <c r="K307" s="19" t="s">
        <v>170</v>
      </c>
      <c r="L307" s="19" t="s">
        <v>99</v>
      </c>
      <c r="M307" s="19" t="s">
        <v>565</v>
      </c>
      <c r="N307" s="19" t="s">
        <v>1543</v>
      </c>
      <c r="O307" s="19" t="s">
        <v>565</v>
      </c>
      <c r="P307" s="19" t="s">
        <v>633</v>
      </c>
      <c r="Q307" s="19" t="s">
        <v>732</v>
      </c>
      <c r="R307" s="19" t="s">
        <v>1544</v>
      </c>
      <c r="S307" s="19"/>
      <c r="T307" s="19" t="s">
        <v>78</v>
      </c>
      <c r="U307" s="19" t="s">
        <v>79</v>
      </c>
      <c r="V307" s="19" t="s">
        <v>124</v>
      </c>
      <c r="W307" s="19" t="s">
        <v>81</v>
      </c>
      <c r="X307" s="19"/>
      <c r="Y307" s="19"/>
      <c r="Z307" s="19" t="s">
        <v>1545</v>
      </c>
      <c r="AA307" s="19">
        <v>2</v>
      </c>
      <c r="AB307" s="19">
        <v>2</v>
      </c>
      <c r="AC307" s="19" t="s">
        <v>58</v>
      </c>
      <c r="AD307" s="19" t="s">
        <v>633</v>
      </c>
      <c r="AE307" s="19" t="s">
        <v>847</v>
      </c>
      <c r="AF307" s="19"/>
    </row>
    <row r="308" spans="1:34" customHeight="1" ht="42">
      <c r="A308" s="19">
        <v>300</v>
      </c>
      <c r="B308" s="19" t="s">
        <v>1012</v>
      </c>
      <c r="C308" s="19" t="s">
        <v>586</v>
      </c>
      <c r="D308" s="19" t="str">
        <f>HYPERLINK("http://henontech.com/fieldsafety/harzard/harzard_show.php?rid=3812&amp;url=harzardrecs.php","煤十料仓通风管道防雨罩螺丝松动，高空坠落一人经过砸伤，送医院检查，右肩胛骨骨折，住院治疗15天，在家休养两个月康复。")</f>
        <v>煤十料仓通风管道防雨罩螺丝松动，高空坠落一人经过砸伤，送医院检查，右肩胛骨骨折，住院治疗15天，在家休养两个月康复。</v>
      </c>
      <c r="E308" s="19" t="s">
        <v>1546</v>
      </c>
      <c r="F308" s="20" t="s">
        <v>42</v>
      </c>
      <c r="G308" s="21" t="s">
        <v>43</v>
      </c>
      <c r="H308" s="19" t="s">
        <v>998</v>
      </c>
      <c r="I308" s="19" t="s">
        <v>97</v>
      </c>
      <c r="J308" s="19" t="s">
        <v>45</v>
      </c>
      <c r="K308" s="19" t="s">
        <v>108</v>
      </c>
      <c r="L308" s="19" t="s">
        <v>99</v>
      </c>
      <c r="M308" s="19" t="s">
        <v>565</v>
      </c>
      <c r="N308" s="19" t="s">
        <v>999</v>
      </c>
      <c r="O308" s="19" t="s">
        <v>565</v>
      </c>
      <c r="P308" s="19" t="s">
        <v>633</v>
      </c>
      <c r="Q308" s="19" t="s">
        <v>732</v>
      </c>
      <c r="R308" s="19" t="s">
        <v>1547</v>
      </c>
      <c r="S308" s="19"/>
      <c r="T308" s="19" t="s">
        <v>52</v>
      </c>
      <c r="U308" s="19" t="s">
        <v>89</v>
      </c>
      <c r="V308" s="19" t="s">
        <v>71</v>
      </c>
      <c r="W308" s="19" t="s">
        <v>55</v>
      </c>
      <c r="X308" s="19"/>
      <c r="Y308" s="19"/>
      <c r="Z308" s="19" t="s">
        <v>1548</v>
      </c>
      <c r="AA308" s="19">
        <v>2</v>
      </c>
      <c r="AB308" s="19">
        <v>2</v>
      </c>
      <c r="AC308" s="19" t="s">
        <v>58</v>
      </c>
      <c r="AD308" s="19" t="s">
        <v>633</v>
      </c>
      <c r="AE308" s="19" t="s">
        <v>847</v>
      </c>
      <c r="AF308" s="19"/>
    </row>
    <row r="309" spans="1:34" customHeight="1" ht="42">
      <c r="A309" s="19">
        <v>301</v>
      </c>
      <c r="B309" s="19" t="s">
        <v>1012</v>
      </c>
      <c r="C309" s="19" t="s">
        <v>586</v>
      </c>
      <c r="D309" s="19" t="str">
        <f>HYPERLINK("http://henontech.com/fieldsafety/harzard/harzard_show.php?rid=3813&amp;url=harzardrecs.php","煤六后尾清扫器固定杆脱落，清理积煤一操作工挤伤手背")</f>
        <v>煤六后尾清扫器固定杆脱落，清理积煤一操作工挤伤手背</v>
      </c>
      <c r="E309" s="19" t="s">
        <v>1549</v>
      </c>
      <c r="F309" s="20" t="s">
        <v>42</v>
      </c>
      <c r="G309" s="21" t="s">
        <v>43</v>
      </c>
      <c r="H309" s="19" t="s">
        <v>44</v>
      </c>
      <c r="I309" s="19" t="s">
        <v>97</v>
      </c>
      <c r="J309" s="19" t="s">
        <v>45</v>
      </c>
      <c r="K309" s="19" t="s">
        <v>98</v>
      </c>
      <c r="L309" s="19" t="s">
        <v>99</v>
      </c>
      <c r="M309" s="19" t="s">
        <v>565</v>
      </c>
      <c r="N309" s="19" t="s">
        <v>1550</v>
      </c>
      <c r="O309" s="19" t="s">
        <v>565</v>
      </c>
      <c r="P309" s="19" t="s">
        <v>633</v>
      </c>
      <c r="Q309" s="19" t="s">
        <v>732</v>
      </c>
      <c r="R309" s="19" t="s">
        <v>1551</v>
      </c>
      <c r="S309" s="19"/>
      <c r="T309" s="19" t="s">
        <v>52</v>
      </c>
      <c r="U309" s="19" t="s">
        <v>70</v>
      </c>
      <c r="V309" s="19" t="s">
        <v>54</v>
      </c>
      <c r="W309" s="19" t="s">
        <v>81</v>
      </c>
      <c r="X309" s="19" t="s">
        <v>73</v>
      </c>
      <c r="Y309" s="19" t="s">
        <v>73</v>
      </c>
      <c r="Z309" s="19" t="s">
        <v>1552</v>
      </c>
      <c r="AA309" s="19">
        <v>2</v>
      </c>
      <c r="AB309" s="19">
        <v>2</v>
      </c>
      <c r="AC309" s="19" t="s">
        <v>58</v>
      </c>
      <c r="AD309" s="19" t="s">
        <v>633</v>
      </c>
      <c r="AE309" s="19" t="s">
        <v>847</v>
      </c>
      <c r="AF309" s="19"/>
    </row>
    <row r="310" spans="1:34">
      <c r="A310" s="19">
        <v>302</v>
      </c>
      <c r="B310" s="19" t="s">
        <v>1012</v>
      </c>
      <c r="C310" s="19" t="s">
        <v>734</v>
      </c>
      <c r="D310" s="19" t="str">
        <f>HYPERLINK("http://henontech.com/fieldsafety/harzard/harzard_show.php?rid=3820&amp;url=harzardrecs.php","旋转密封阀东墙氧气报警仪配电箱门锁坏，无法关闭，巡检人员巡检时右手触碰电源，造成右手电灼伤，送医治疗。")</f>
        <v>旋转密封阀东墙氧气报警仪配电箱门锁坏，无法关闭，巡检人员巡检时右手触碰电源，造成右手电灼伤，送医治疗。</v>
      </c>
      <c r="E310" s="19" t="s">
        <v>1553</v>
      </c>
      <c r="F310" s="25" t="s">
        <v>828</v>
      </c>
      <c r="G310" s="22" t="s">
        <v>64</v>
      </c>
      <c r="H310" s="19" t="s">
        <v>44</v>
      </c>
      <c r="I310" s="19" t="s">
        <v>97</v>
      </c>
      <c r="J310" s="19" t="s">
        <v>527</v>
      </c>
      <c r="K310" s="19" t="s">
        <v>98</v>
      </c>
      <c r="L310" s="19" t="s">
        <v>99</v>
      </c>
      <c r="M310" s="19" t="s">
        <v>46</v>
      </c>
      <c r="N310" s="19" t="s">
        <v>736</v>
      </c>
      <c r="O310" s="19" t="s">
        <v>46</v>
      </c>
      <c r="P310" s="19" t="s">
        <v>120</v>
      </c>
      <c r="Q310" s="19" t="s">
        <v>1554</v>
      </c>
      <c r="R310" s="19" t="s">
        <v>1555</v>
      </c>
      <c r="S310" s="19" t="s">
        <v>1556</v>
      </c>
      <c r="T310" s="19" t="s">
        <v>52</v>
      </c>
      <c r="U310" s="19" t="s">
        <v>89</v>
      </c>
      <c r="V310" s="19" t="s">
        <v>71</v>
      </c>
      <c r="W310" s="19" t="s">
        <v>55</v>
      </c>
      <c r="X310" s="19" t="s">
        <v>73</v>
      </c>
      <c r="Y310" s="19"/>
      <c r="Z310" s="19" t="s">
        <v>1557</v>
      </c>
      <c r="AA310" s="19">
        <v>1</v>
      </c>
      <c r="AB310" s="19"/>
      <c r="AC310" s="19" t="s">
        <v>103</v>
      </c>
      <c r="AD310" s="19"/>
      <c r="AE310" s="19"/>
      <c r="AF310" s="19"/>
    </row>
    <row r="311" spans="1:34">
      <c r="A311" s="19">
        <v>303</v>
      </c>
      <c r="B311" s="19" t="s">
        <v>1012</v>
      </c>
      <c r="C311" s="19" t="s">
        <v>563</v>
      </c>
      <c r="D311" s="19" t="str">
        <f>HYPERLINK("http://henontech.com/fieldsafety/harzard/harzard_show.php?rid=3829&amp;url=harzardrecs.php","一人违章作业，站在篦子上投煤，左脚踩蹭整支左腿陷入篦子孔中，造成左腿根部擦伤，休息一会儿继续工作。")</f>
        <v>一人违章作业，站在篦子上投煤，左脚踩蹭整支左腿陷入篦子孔中，造成左腿根部擦伤，休息一会儿继续工作。</v>
      </c>
      <c r="E311" s="19" t="s">
        <v>1558</v>
      </c>
      <c r="F311" s="20" t="s">
        <v>42</v>
      </c>
      <c r="G311" s="21" t="s">
        <v>43</v>
      </c>
      <c r="H311" s="19" t="s">
        <v>44</v>
      </c>
      <c r="I311" s="19" t="s">
        <v>106</v>
      </c>
      <c r="J311" s="19"/>
      <c r="K311" s="19"/>
      <c r="L311" s="19"/>
      <c r="M311" s="19" t="s">
        <v>565</v>
      </c>
      <c r="N311" s="19" t="s">
        <v>622</v>
      </c>
      <c r="O311" s="19" t="s">
        <v>565</v>
      </c>
      <c r="P311" s="19" t="s">
        <v>566</v>
      </c>
      <c r="Q311" s="19" t="s">
        <v>1441</v>
      </c>
      <c r="R311" s="19" t="s">
        <v>1559</v>
      </c>
      <c r="S311" s="19"/>
      <c r="T311" s="19" t="s">
        <v>52</v>
      </c>
      <c r="U311" s="19" t="s">
        <v>70</v>
      </c>
      <c r="V311" s="19" t="s">
        <v>71</v>
      </c>
      <c r="W311" s="19" t="s">
        <v>72</v>
      </c>
      <c r="X311" s="19" t="s">
        <v>90</v>
      </c>
      <c r="Y311" s="19"/>
      <c r="Z311" s="19" t="s">
        <v>1560</v>
      </c>
      <c r="AA311" s="19">
        <v>1</v>
      </c>
      <c r="AB311" s="19">
        <v>1</v>
      </c>
      <c r="AC311" s="19" t="s">
        <v>58</v>
      </c>
      <c r="AD311" s="19" t="s">
        <v>566</v>
      </c>
      <c r="AE311" s="19" t="s">
        <v>1012</v>
      </c>
      <c r="AF311" s="19"/>
    </row>
    <row r="312" spans="1:34">
      <c r="A312" s="19">
        <v>304</v>
      </c>
      <c r="B312" s="19" t="s">
        <v>1012</v>
      </c>
      <c r="C312" s="19" t="s">
        <v>152</v>
      </c>
      <c r="D312" s="19" t="str">
        <f>HYPERLINK("http://henontech.com/fieldsafety/harzard/harzard_show.php?rid=3835&amp;url=harzardrecs.php","二次除尘爬梯未安装防滑条，巡检人员下爬梯时脚底打滑，从爬梯上滑落，造成右脚扭伤，送医治疗。")</f>
        <v>二次除尘爬梯未安装防滑条，巡检人员下爬梯时脚底打滑，从爬梯上滑落，造成右脚扭伤，送医治疗。</v>
      </c>
      <c r="E312" s="19" t="s">
        <v>1561</v>
      </c>
      <c r="F312" s="25" t="s">
        <v>828</v>
      </c>
      <c r="G312" s="22" t="s">
        <v>64</v>
      </c>
      <c r="H312" s="19" t="s">
        <v>44</v>
      </c>
      <c r="I312" s="19" t="s">
        <v>97</v>
      </c>
      <c r="J312" s="19" t="s">
        <v>182</v>
      </c>
      <c r="K312" s="19" t="s">
        <v>98</v>
      </c>
      <c r="L312" s="19" t="s">
        <v>99</v>
      </c>
      <c r="M312" s="19" t="s">
        <v>46</v>
      </c>
      <c r="N312" s="19" t="s">
        <v>710</v>
      </c>
      <c r="O312" s="19" t="s">
        <v>46</v>
      </c>
      <c r="P312" s="19" t="s">
        <v>193</v>
      </c>
      <c r="Q312" s="19" t="s">
        <v>1562</v>
      </c>
      <c r="R312" s="19" t="s">
        <v>1563</v>
      </c>
      <c r="S312" s="19" t="s">
        <v>1564</v>
      </c>
      <c r="T312" s="19" t="s">
        <v>52</v>
      </c>
      <c r="U312" s="19" t="s">
        <v>89</v>
      </c>
      <c r="V312" s="19" t="s">
        <v>80</v>
      </c>
      <c r="W312" s="19" t="s">
        <v>116</v>
      </c>
      <c r="X312" s="19" t="s">
        <v>73</v>
      </c>
      <c r="Y312" s="19" t="s">
        <v>582</v>
      </c>
      <c r="Z312" s="19" t="s">
        <v>1565</v>
      </c>
      <c r="AA312" s="19">
        <v>1</v>
      </c>
      <c r="AB312" s="19"/>
      <c r="AC312" s="19" t="s">
        <v>103</v>
      </c>
      <c r="AD312" s="19"/>
      <c r="AE312" s="19"/>
      <c r="AF312" s="19"/>
    </row>
    <row r="313" spans="1:34">
      <c r="A313" s="19">
        <v>305</v>
      </c>
      <c r="B313" s="19" t="s">
        <v>1012</v>
      </c>
      <c r="C313" s="19" t="s">
        <v>869</v>
      </c>
      <c r="D313" s="19" t="str">
        <f>HYPERLINK("http://henontech.com/fieldsafety/harzard/harzard_show.php?rid=3847&amp;url=harzardrecs.php","终冷器南电缆桥架上有杂物铁件，可能会造成一名操作工在巡检此处时，因风险源辨识不足由高处坠落的铁件击伤头部")</f>
        <v>终冷器南电缆桥架上有杂物铁件，可能会造成一名操作工在巡检此处时，因风险源辨识不足由高处坠落的铁件击伤头部</v>
      </c>
      <c r="E313" s="19" t="s">
        <v>1566</v>
      </c>
      <c r="F313" s="23" t="s">
        <v>96</v>
      </c>
      <c r="G313" s="22" t="s">
        <v>64</v>
      </c>
      <c r="H313" s="19" t="s">
        <v>44</v>
      </c>
      <c r="I313" s="19" t="s">
        <v>97</v>
      </c>
      <c r="J313" s="19" t="s">
        <v>527</v>
      </c>
      <c r="K313" s="19" t="s">
        <v>108</v>
      </c>
      <c r="L313" s="19" t="s">
        <v>99</v>
      </c>
      <c r="M313" s="19" t="s">
        <v>334</v>
      </c>
      <c r="N313" s="19" t="s">
        <v>995</v>
      </c>
      <c r="O313" s="19"/>
      <c r="P313" s="19"/>
      <c r="Q313" s="19"/>
      <c r="R313" s="19" t="s">
        <v>1567</v>
      </c>
      <c r="S313" s="19" t="s">
        <v>1568</v>
      </c>
      <c r="T313" s="19" t="s">
        <v>52</v>
      </c>
      <c r="U313" s="19" t="s">
        <v>70</v>
      </c>
      <c r="V313" s="19" t="s">
        <v>54</v>
      </c>
      <c r="W313" s="19" t="s">
        <v>81</v>
      </c>
      <c r="X313" s="19"/>
      <c r="Y313" s="19"/>
      <c r="Z313" s="19"/>
      <c r="AA313" s="19">
        <v>0</v>
      </c>
      <c r="AB313" s="19"/>
      <c r="AC313" s="19" t="s">
        <v>103</v>
      </c>
      <c r="AD313" s="19"/>
      <c r="AE313" s="19"/>
      <c r="AF313" s="19"/>
    </row>
    <row r="314" spans="1:34">
      <c r="A314" s="19">
        <v>306</v>
      </c>
      <c r="B314" s="19" t="s">
        <v>761</v>
      </c>
      <c r="C314" s="19" t="s">
        <v>1184</v>
      </c>
      <c r="D314" s="19" t="str">
        <f>HYPERLINK("http://henontech.com/fieldsafety/harzard/harzard_show.php?rid=3852&amp;url=harzardrecs.php","开老化学水蒸气阀门时由于开的过大不慎造成手臂大面积灼伤严重")</f>
        <v>开老化学水蒸气阀门时由于开的过大不慎造成手臂大面积灼伤严重</v>
      </c>
      <c r="E314" s="19" t="s">
        <v>1569</v>
      </c>
      <c r="F314" s="23" t="s">
        <v>96</v>
      </c>
      <c r="G314" s="22" t="s">
        <v>64</v>
      </c>
      <c r="H314" s="19" t="s">
        <v>44</v>
      </c>
      <c r="I314" s="19" t="s">
        <v>106</v>
      </c>
      <c r="J314" s="19" t="s">
        <v>107</v>
      </c>
      <c r="K314" s="19" t="s">
        <v>108</v>
      </c>
      <c r="L314" s="19" t="s">
        <v>99</v>
      </c>
      <c r="M314" s="19" t="s">
        <v>663</v>
      </c>
      <c r="N314" s="19" t="s">
        <v>1570</v>
      </c>
      <c r="O314" s="19"/>
      <c r="P314" s="19"/>
      <c r="Q314" s="19"/>
      <c r="R314" s="19" t="s">
        <v>1571</v>
      </c>
      <c r="S314" s="19" t="s">
        <v>1572</v>
      </c>
      <c r="T314" s="19" t="s">
        <v>52</v>
      </c>
      <c r="U314" s="19" t="s">
        <v>89</v>
      </c>
      <c r="V314" s="19" t="s">
        <v>54</v>
      </c>
      <c r="W314" s="19" t="s">
        <v>72</v>
      </c>
      <c r="X314" s="19"/>
      <c r="Y314" s="19"/>
      <c r="Z314" s="19"/>
      <c r="AA314" s="19">
        <v>0</v>
      </c>
      <c r="AB314" s="19"/>
      <c r="AC314" s="19" t="s">
        <v>103</v>
      </c>
      <c r="AD314" s="19"/>
      <c r="AE314" s="19"/>
      <c r="AF314" s="19"/>
    </row>
    <row r="315" spans="1:34" customHeight="1" ht="42">
      <c r="A315" s="19">
        <v>307</v>
      </c>
      <c r="B315" s="19" t="s">
        <v>761</v>
      </c>
      <c r="C315" s="19" t="s">
        <v>578</v>
      </c>
      <c r="D315" s="19" t="str">
        <f>HYPERLINK("http://henontech.com/fieldsafety/harzard/harzard_show.php?rid=3853&amp;url=harzardrecs.php","西五胶带机后尾托辊磨损")</f>
        <v>西五胶带机后尾托辊磨损</v>
      </c>
      <c r="E315" s="19" t="s">
        <v>1573</v>
      </c>
      <c r="F315" s="20" t="s">
        <v>42</v>
      </c>
      <c r="G315" s="22" t="s">
        <v>64</v>
      </c>
      <c r="H315" s="19" t="s">
        <v>44</v>
      </c>
      <c r="I315" s="19" t="s">
        <v>97</v>
      </c>
      <c r="J315" s="19" t="s">
        <v>45</v>
      </c>
      <c r="K315" s="19" t="s">
        <v>98</v>
      </c>
      <c r="L315" s="19" t="s">
        <v>99</v>
      </c>
      <c r="M315" s="19" t="s">
        <v>565</v>
      </c>
      <c r="N315" s="19" t="s">
        <v>992</v>
      </c>
      <c r="O315" s="19" t="s">
        <v>565</v>
      </c>
      <c r="P315" s="19" t="s">
        <v>633</v>
      </c>
      <c r="Q315" s="19" t="s">
        <v>732</v>
      </c>
      <c r="R315" s="19" t="s">
        <v>581</v>
      </c>
      <c r="S315" s="19"/>
      <c r="T315" s="19" t="s">
        <v>78</v>
      </c>
      <c r="U315" s="19" t="s">
        <v>79</v>
      </c>
      <c r="V315" s="19" t="s">
        <v>80</v>
      </c>
      <c r="W315" s="19" t="s">
        <v>81</v>
      </c>
      <c r="X315" s="19" t="s">
        <v>73</v>
      </c>
      <c r="Y315" s="19" t="s">
        <v>73</v>
      </c>
      <c r="Z315" s="19" t="s">
        <v>1574</v>
      </c>
      <c r="AA315" s="19">
        <v>2</v>
      </c>
      <c r="AB315" s="19">
        <v>2</v>
      </c>
      <c r="AC315" s="19" t="s">
        <v>58</v>
      </c>
      <c r="AD315" s="19" t="s">
        <v>633</v>
      </c>
      <c r="AE315" s="19" t="s">
        <v>847</v>
      </c>
      <c r="AF315" s="19"/>
    </row>
    <row r="316" spans="1:34" customHeight="1" ht="42">
      <c r="A316" s="19">
        <v>308</v>
      </c>
      <c r="B316" s="19" t="s">
        <v>761</v>
      </c>
      <c r="C316" s="19" t="s">
        <v>563</v>
      </c>
      <c r="D316" s="19" t="str">
        <f>HYPERLINK("http://henontech.com/fieldsafety/harzard/harzard_show.php?rid=3854&amp;url=harzardrecs.php","临时电源没有插座一维修工在送电时不小心被电伤，送医救治鉴定为轻微灼伤")</f>
        <v>临时电源没有插座一维修工在送电时不小心被电伤，送医救治鉴定为轻微灼伤</v>
      </c>
      <c r="E316" s="19" t="s">
        <v>1575</v>
      </c>
      <c r="F316" s="20" t="s">
        <v>42</v>
      </c>
      <c r="G316" s="21" t="s">
        <v>43</v>
      </c>
      <c r="H316" s="19" t="s">
        <v>44</v>
      </c>
      <c r="I316" s="19"/>
      <c r="J316" s="19" t="s">
        <v>231</v>
      </c>
      <c r="K316" s="19" t="s">
        <v>170</v>
      </c>
      <c r="L316" s="19" t="s">
        <v>99</v>
      </c>
      <c r="M316" s="19" t="s">
        <v>565</v>
      </c>
      <c r="N316" s="19" t="s">
        <v>1576</v>
      </c>
      <c r="O316" s="19" t="s">
        <v>565</v>
      </c>
      <c r="P316" s="19" t="s">
        <v>633</v>
      </c>
      <c r="Q316" s="19" t="s">
        <v>1282</v>
      </c>
      <c r="R316" s="19" t="s">
        <v>1577</v>
      </c>
      <c r="S316" s="19"/>
      <c r="T316" s="19" t="s">
        <v>52</v>
      </c>
      <c r="U316" s="19" t="s">
        <v>70</v>
      </c>
      <c r="V316" s="19" t="s">
        <v>54</v>
      </c>
      <c r="W316" s="19" t="s">
        <v>81</v>
      </c>
      <c r="X316" s="19"/>
      <c r="Y316" s="19"/>
      <c r="Z316" s="19" t="s">
        <v>1578</v>
      </c>
      <c r="AA316" s="19">
        <v>2</v>
      </c>
      <c r="AB316" s="19">
        <v>2</v>
      </c>
      <c r="AC316" s="19" t="s">
        <v>58</v>
      </c>
      <c r="AD316" s="19" t="s">
        <v>633</v>
      </c>
      <c r="AE316" s="19" t="s">
        <v>847</v>
      </c>
      <c r="AF316" s="19"/>
    </row>
    <row r="317" spans="1:34">
      <c r="A317" s="19">
        <v>309</v>
      </c>
      <c r="B317" s="19" t="s">
        <v>761</v>
      </c>
      <c r="C317" s="19" t="s">
        <v>1579</v>
      </c>
      <c r="D317" s="19" t="str">
        <f>HYPERLINK("http://henontech.com/fieldsafety/harzard/harzard_show.php?rid=3882&amp;url=harzardrecs.php","防爆区域内信号线防护套管损坏，使线缆失去保护作用，造成线缆损坏，出现事故不能及时报警或误报。")</f>
        <v>防爆区域内信号线防护套管损坏，使线缆失去保护作用，造成线缆损坏，出现事故不能及时报警或误报。</v>
      </c>
      <c r="E317" s="19" t="s">
        <v>1580</v>
      </c>
      <c r="F317" s="20" t="s">
        <v>42</v>
      </c>
      <c r="G317" s="22" t="s">
        <v>64</v>
      </c>
      <c r="H317" s="19" t="s">
        <v>44</v>
      </c>
      <c r="I317" s="19" t="s">
        <v>97</v>
      </c>
      <c r="J317" s="19" t="s">
        <v>182</v>
      </c>
      <c r="K317" s="19" t="s">
        <v>98</v>
      </c>
      <c r="L317" s="19" t="s">
        <v>99</v>
      </c>
      <c r="M317" s="19" t="s">
        <v>241</v>
      </c>
      <c r="N317" s="19" t="s">
        <v>1581</v>
      </c>
      <c r="O317" s="19" t="s">
        <v>241</v>
      </c>
      <c r="P317" s="19" t="s">
        <v>1516</v>
      </c>
      <c r="Q317" s="19" t="s">
        <v>1554</v>
      </c>
      <c r="R317" s="19" t="s">
        <v>1582</v>
      </c>
      <c r="S317" s="19"/>
      <c r="T317" s="19" t="s">
        <v>52</v>
      </c>
      <c r="U317" s="19" t="s">
        <v>70</v>
      </c>
      <c r="V317" s="19" t="s">
        <v>71</v>
      </c>
      <c r="W317" s="19" t="s">
        <v>72</v>
      </c>
      <c r="X317" s="19" t="s">
        <v>1583</v>
      </c>
      <c r="Y317" s="19" t="s">
        <v>323</v>
      </c>
      <c r="Z317" s="19" t="s">
        <v>1584</v>
      </c>
      <c r="AA317" s="19">
        <v>1</v>
      </c>
      <c r="AB317" s="19">
        <v>1</v>
      </c>
      <c r="AC317" s="19" t="s">
        <v>58</v>
      </c>
      <c r="AD317" s="19" t="s">
        <v>1516</v>
      </c>
      <c r="AE317" s="19" t="s">
        <v>773</v>
      </c>
      <c r="AF317" s="19"/>
    </row>
    <row r="318" spans="1:34">
      <c r="A318" s="19">
        <v>310</v>
      </c>
      <c r="B318" s="19" t="s">
        <v>761</v>
      </c>
      <c r="C318" s="19" t="s">
        <v>152</v>
      </c>
      <c r="D318" s="19" t="str">
        <f>HYPERLINK("http://henontech.com/fieldsafety/harzard/harzard_show.php?rid=3888&amp;url=harzardrecs.php","干熄炉三层东侧护栏踢脚板开焊脱落，如遇大风天气刮落一铁件砸伤一行人，造成左肩受伤，送医治疗")</f>
        <v>干熄炉三层东侧护栏踢脚板开焊脱落，如遇大风天气刮落一铁件砸伤一行人，造成左肩受伤，送医治疗</v>
      </c>
      <c r="E318" s="19" t="s">
        <v>1585</v>
      </c>
      <c r="F318" s="25" t="s">
        <v>828</v>
      </c>
      <c r="G318" s="22" t="s">
        <v>64</v>
      </c>
      <c r="H318" s="19" t="s">
        <v>44</v>
      </c>
      <c r="I318" s="19" t="s">
        <v>97</v>
      </c>
      <c r="J318" s="19" t="s">
        <v>527</v>
      </c>
      <c r="K318" s="19" t="s">
        <v>98</v>
      </c>
      <c r="L318" s="19" t="s">
        <v>99</v>
      </c>
      <c r="M318" s="19" t="s">
        <v>46</v>
      </c>
      <c r="N318" s="19" t="s">
        <v>1586</v>
      </c>
      <c r="O318" s="19" t="s">
        <v>46</v>
      </c>
      <c r="P318" s="19" t="s">
        <v>120</v>
      </c>
      <c r="Q318" s="19" t="s">
        <v>1554</v>
      </c>
      <c r="R318" s="19" t="s">
        <v>1587</v>
      </c>
      <c r="S318" s="19" t="s">
        <v>1588</v>
      </c>
      <c r="T318" s="19" t="s">
        <v>52</v>
      </c>
      <c r="U318" s="19" t="s">
        <v>89</v>
      </c>
      <c r="V318" s="19" t="s">
        <v>71</v>
      </c>
      <c r="W318" s="19" t="s">
        <v>55</v>
      </c>
      <c r="X318" s="19" t="s">
        <v>73</v>
      </c>
      <c r="Y318" s="19"/>
      <c r="Z318" s="19" t="s">
        <v>1589</v>
      </c>
      <c r="AA318" s="19">
        <v>1</v>
      </c>
      <c r="AB318" s="19"/>
      <c r="AC318" s="19" t="s">
        <v>103</v>
      </c>
      <c r="AD318" s="19"/>
      <c r="AE318" s="19"/>
      <c r="AF318" s="19"/>
    </row>
    <row r="319" spans="1:34">
      <c r="A319" s="19">
        <v>311</v>
      </c>
      <c r="B319" s="19" t="s">
        <v>761</v>
      </c>
      <c r="C319" s="19" t="s">
        <v>1590</v>
      </c>
      <c r="D319" s="19" t="str">
        <f>HYPERLINK("http://henontech.com/fieldsafety/harzard/harzard_show.php?rid=3892&amp;url=harzardrecs.php","液体二氧化碳在卸车时，一名操作人员在开启进口手动阀门时，阀门填料突然泄露，虽配戴防冻手套，但造成手腕部低温冻伤，立即送医务室进行清洁处理，外用冻疮膏，休息二天后复工。")</f>
        <v>液体二氧化碳在卸车时，一名操作人员在开启进口手动阀门时，阀门填料突然泄露，虽配戴防冻手套，但造成手腕部低温冻伤，立即送医务室进行清洁处理，外用冻疮膏，休息二天后复工。</v>
      </c>
      <c r="E319" s="19" t="s">
        <v>1591</v>
      </c>
      <c r="F319" s="20" t="s">
        <v>42</v>
      </c>
      <c r="G319" s="22" t="s">
        <v>64</v>
      </c>
      <c r="H319" s="19" t="s">
        <v>44</v>
      </c>
      <c r="I319" s="19" t="s">
        <v>97</v>
      </c>
      <c r="J319" s="19" t="s">
        <v>1592</v>
      </c>
      <c r="K319" s="19" t="s">
        <v>98</v>
      </c>
      <c r="L319" s="19" t="s">
        <v>99</v>
      </c>
      <c r="M319" s="19" t="s">
        <v>241</v>
      </c>
      <c r="N319" s="19" t="s">
        <v>1593</v>
      </c>
      <c r="O319" s="19" t="s">
        <v>241</v>
      </c>
      <c r="P319" s="19" t="s">
        <v>1452</v>
      </c>
      <c r="Q319" s="19" t="s">
        <v>1453</v>
      </c>
      <c r="R319" s="19" t="s">
        <v>1594</v>
      </c>
      <c r="S319" s="19"/>
      <c r="T319" s="19" t="s">
        <v>52</v>
      </c>
      <c r="U319" s="19" t="s">
        <v>70</v>
      </c>
      <c r="V319" s="19" t="s">
        <v>54</v>
      </c>
      <c r="W319" s="19" t="s">
        <v>81</v>
      </c>
      <c r="X319" s="19" t="s">
        <v>73</v>
      </c>
      <c r="Y319" s="19" t="s">
        <v>73</v>
      </c>
      <c r="Z319" s="19" t="s">
        <v>1595</v>
      </c>
      <c r="AA319" s="19">
        <v>1</v>
      </c>
      <c r="AB319" s="19">
        <v>0</v>
      </c>
      <c r="AC319" s="19" t="s">
        <v>58</v>
      </c>
      <c r="AD319" s="19" t="s">
        <v>1452</v>
      </c>
      <c r="AE319" s="19" t="s">
        <v>840</v>
      </c>
      <c r="AF319" s="19"/>
    </row>
    <row r="320" spans="1:34">
      <c r="A320" s="19">
        <v>312</v>
      </c>
      <c r="B320" s="19" t="s">
        <v>761</v>
      </c>
      <c r="C320" s="19" t="s">
        <v>734</v>
      </c>
      <c r="D320" s="19" t="str">
        <f>HYPERLINK("http://henontech.com/fieldsafety/harzard/harzard_show.php?rid=3898&amp;url=harzardrecs.php","平台踏板不牢，巡检人员检查除尘喷吹情况时，脚底踏板开裂，巡检人员从5米平台坠落至地面。")</f>
        <v>平台踏板不牢，巡检人员检查除尘喷吹情况时，脚底踏板开裂，巡检人员从5米平台坠落至地面。</v>
      </c>
      <c r="E320" s="19" t="s">
        <v>1596</v>
      </c>
      <c r="F320" s="25" t="s">
        <v>828</v>
      </c>
      <c r="G320" s="22" t="s">
        <v>64</v>
      </c>
      <c r="H320" s="19" t="s">
        <v>44</v>
      </c>
      <c r="I320" s="19" t="s">
        <v>97</v>
      </c>
      <c r="J320" s="19" t="s">
        <v>45</v>
      </c>
      <c r="K320" s="19" t="s">
        <v>98</v>
      </c>
      <c r="L320" s="19" t="s">
        <v>99</v>
      </c>
      <c r="M320" s="19" t="s">
        <v>46</v>
      </c>
      <c r="N320" s="19" t="s">
        <v>193</v>
      </c>
      <c r="O320" s="19" t="s">
        <v>46</v>
      </c>
      <c r="P320" s="19" t="s">
        <v>219</v>
      </c>
      <c r="Q320" s="19" t="s">
        <v>1554</v>
      </c>
      <c r="R320" s="19" t="s">
        <v>1597</v>
      </c>
      <c r="S320" s="19" t="s">
        <v>1598</v>
      </c>
      <c r="T320" s="19" t="s">
        <v>52</v>
      </c>
      <c r="U320" s="19" t="s">
        <v>53</v>
      </c>
      <c r="V320" s="19" t="s">
        <v>71</v>
      </c>
      <c r="W320" s="19" t="s">
        <v>116</v>
      </c>
      <c r="X320" s="19" t="s">
        <v>73</v>
      </c>
      <c r="Y320" s="19"/>
      <c r="Z320" s="19" t="s">
        <v>1599</v>
      </c>
      <c r="AA320" s="19">
        <v>1</v>
      </c>
      <c r="AB320" s="19"/>
      <c r="AC320" s="19" t="s">
        <v>103</v>
      </c>
      <c r="AD320" s="19"/>
      <c r="AE320" s="19"/>
      <c r="AF320" s="19"/>
    </row>
    <row r="321" spans="1:34">
      <c r="A321" s="19">
        <v>313</v>
      </c>
      <c r="B321" s="19" t="s">
        <v>761</v>
      </c>
      <c r="C321" s="19" t="s">
        <v>1600</v>
      </c>
      <c r="D321" s="19" t="str">
        <f>HYPERLINK("http://henontech.com/fieldsafety/harzard/harzard_show.php?rid=3903&amp;url=harzardrecs.php","一级高压泵接触器保护套老化，失去保护作用，一旦短路一级反渗透停机，将会造成干熄焦锅炉负荷降低")</f>
        <v>一级高压泵接触器保护套老化，失去保护作用，一旦短路一级反渗透停机，将会造成干熄焦锅炉负荷降低</v>
      </c>
      <c r="E321" s="19" t="s">
        <v>1601</v>
      </c>
      <c r="F321" s="25" t="s">
        <v>828</v>
      </c>
      <c r="G321" s="22" t="s">
        <v>64</v>
      </c>
      <c r="H321" s="19" t="s">
        <v>44</v>
      </c>
      <c r="I321" s="19" t="s">
        <v>97</v>
      </c>
      <c r="J321" s="19" t="s">
        <v>527</v>
      </c>
      <c r="K321" s="19" t="s">
        <v>98</v>
      </c>
      <c r="L321" s="19" t="s">
        <v>99</v>
      </c>
      <c r="M321" s="19" t="s">
        <v>46</v>
      </c>
      <c r="N321" s="19" t="s">
        <v>1602</v>
      </c>
      <c r="O321" s="19" t="s">
        <v>46</v>
      </c>
      <c r="P321" s="19" t="s">
        <v>120</v>
      </c>
      <c r="Q321" s="19" t="s">
        <v>1554</v>
      </c>
      <c r="R321" s="19" t="s">
        <v>1603</v>
      </c>
      <c r="S321" s="19" t="s">
        <v>1604</v>
      </c>
      <c r="T321" s="19" t="s">
        <v>78</v>
      </c>
      <c r="U321" s="19" t="s">
        <v>70</v>
      </c>
      <c r="V321" s="19" t="s">
        <v>80</v>
      </c>
      <c r="W321" s="19" t="s">
        <v>55</v>
      </c>
      <c r="X321" s="19" t="s">
        <v>73</v>
      </c>
      <c r="Y321" s="19"/>
      <c r="Z321" s="19" t="s">
        <v>1605</v>
      </c>
      <c r="AA321" s="19">
        <v>1</v>
      </c>
      <c r="AB321" s="19"/>
      <c r="AC321" s="19" t="s">
        <v>103</v>
      </c>
      <c r="AD321" s="19"/>
      <c r="AE321" s="19"/>
      <c r="AF321" s="19"/>
    </row>
    <row r="322" spans="1:34">
      <c r="A322" s="19">
        <v>314</v>
      </c>
      <c r="B322" s="19" t="s">
        <v>761</v>
      </c>
      <c r="C322" s="19" t="s">
        <v>351</v>
      </c>
      <c r="D322" s="19" t="str">
        <f>HYPERLINK("http://henontech.com/fieldsafety/harzard/harzard_show.php?rid=3907&amp;url=harzardrecs.php","通往循环槽爬梯铁板腐蚀严重，如果长时间未发现，可能造成铁板进一步腐蚀，承重能力差，操作人员巡检到此造成人员腿部踏空擦伤，简单处理后可继续工作。")</f>
        <v>通往循环槽爬梯铁板腐蚀严重，如果长时间未发现，可能造成铁板进一步腐蚀，承重能力差，操作人员巡检到此造成人员腿部踏空擦伤，简单处理后可继续工作。</v>
      </c>
      <c r="E322" s="19" t="s">
        <v>1606</v>
      </c>
      <c r="F322" s="20" t="s">
        <v>42</v>
      </c>
      <c r="G322" s="22" t="s">
        <v>64</v>
      </c>
      <c r="H322" s="19" t="s">
        <v>44</v>
      </c>
      <c r="I322" s="19" t="s">
        <v>97</v>
      </c>
      <c r="J322" s="19" t="s">
        <v>45</v>
      </c>
      <c r="K322" s="19" t="s">
        <v>98</v>
      </c>
      <c r="L322" s="19" t="s">
        <v>99</v>
      </c>
      <c r="M322" s="19" t="s">
        <v>334</v>
      </c>
      <c r="N322" s="19" t="s">
        <v>507</v>
      </c>
      <c r="O322" s="19" t="s">
        <v>334</v>
      </c>
      <c r="P322" s="19" t="s">
        <v>346</v>
      </c>
      <c r="Q322" s="19" t="s">
        <v>1286</v>
      </c>
      <c r="R322" s="19" t="s">
        <v>1607</v>
      </c>
      <c r="S322" s="19"/>
      <c r="T322" s="19" t="s">
        <v>52</v>
      </c>
      <c r="U322" s="19" t="s">
        <v>70</v>
      </c>
      <c r="V322" s="19" t="s">
        <v>54</v>
      </c>
      <c r="W322" s="19" t="s">
        <v>81</v>
      </c>
      <c r="X322" s="19"/>
      <c r="Y322" s="19"/>
      <c r="Z322" s="19" t="s">
        <v>1608</v>
      </c>
      <c r="AA322" s="19">
        <v>1</v>
      </c>
      <c r="AB322" s="19">
        <v>1</v>
      </c>
      <c r="AC322" s="19" t="s">
        <v>58</v>
      </c>
      <c r="AD322" s="19" t="s">
        <v>346</v>
      </c>
      <c r="AE322" s="19" t="s">
        <v>807</v>
      </c>
      <c r="AF322" s="19"/>
    </row>
    <row r="323" spans="1:34">
      <c r="A323" s="19">
        <v>315</v>
      </c>
      <c r="B323" s="19" t="s">
        <v>761</v>
      </c>
      <c r="C323" s="19" t="s">
        <v>1609</v>
      </c>
      <c r="D323" s="19" t="str">
        <f>HYPERLINK("http://henontech.com/fieldsafety/harzard/harzard_show.php?rid=3908&amp;url=harzardrecs.php","一操作工在清理卫生的过程中不慎跌进缺失护栏的东四机头下料口造成左手骨折住院治疗一个月回家修养两个月")</f>
        <v>一操作工在清理卫生的过程中不慎跌进缺失护栏的东四机头下料口造成左手骨折住院治疗一个月回家修养两个月</v>
      </c>
      <c r="E323" s="19" t="s">
        <v>1610</v>
      </c>
      <c r="F323" s="20" t="s">
        <v>42</v>
      </c>
      <c r="G323" s="21" t="s">
        <v>43</v>
      </c>
      <c r="H323" s="19" t="s">
        <v>44</v>
      </c>
      <c r="I323" s="19" t="s">
        <v>119</v>
      </c>
      <c r="J323" s="19" t="s">
        <v>45</v>
      </c>
      <c r="K323" s="19" t="s">
        <v>170</v>
      </c>
      <c r="L323" s="19" t="s">
        <v>99</v>
      </c>
      <c r="M323" s="19" t="s">
        <v>565</v>
      </c>
      <c r="N323" s="19" t="s">
        <v>1611</v>
      </c>
      <c r="O323" s="19" t="s">
        <v>565</v>
      </c>
      <c r="P323" s="19" t="s">
        <v>627</v>
      </c>
      <c r="Q323" s="19" t="s">
        <v>965</v>
      </c>
      <c r="R323" s="19" t="s">
        <v>1612</v>
      </c>
      <c r="S323" s="19"/>
      <c r="T323" s="19" t="s">
        <v>52</v>
      </c>
      <c r="U323" s="19" t="s">
        <v>89</v>
      </c>
      <c r="V323" s="19" t="s">
        <v>71</v>
      </c>
      <c r="W323" s="19" t="s">
        <v>55</v>
      </c>
      <c r="X323" s="19"/>
      <c r="Y323" s="19"/>
      <c r="Z323" s="19" t="s">
        <v>1613</v>
      </c>
      <c r="AA323" s="19">
        <v>1</v>
      </c>
      <c r="AB323" s="19">
        <v>1</v>
      </c>
      <c r="AC323" s="19" t="s">
        <v>58</v>
      </c>
      <c r="AD323" s="19" t="s">
        <v>627</v>
      </c>
      <c r="AE323" s="19" t="s">
        <v>965</v>
      </c>
      <c r="AF323" s="19"/>
    </row>
    <row r="324" spans="1:34">
      <c r="A324" s="19">
        <v>316</v>
      </c>
      <c r="B324" s="19" t="s">
        <v>761</v>
      </c>
      <c r="C324" s="19" t="s">
        <v>1614</v>
      </c>
      <c r="D324" s="19" t="str">
        <f>HYPERLINK("http://henontech.com/fieldsafety/harzard/harzard_show.php?rid=3909&amp;url=harzardrecs.php","硫酸容器未放置安全位置，分析员在分析过程中触碰到硫酸容器，容器跌落硫酸溶液溅到身上简单处理后就医，医生诊断腿部软组织轻度灼伤简单包扎后复工。")</f>
        <v>硫酸容器未放置安全位置，分析员在分析过程中触碰到硫酸容器，容器跌落硫酸溶液溅到身上简单处理后就医，医生诊断腿部软组织轻度灼伤简单包扎后复工。</v>
      </c>
      <c r="E324" s="19" t="s">
        <v>1615</v>
      </c>
      <c r="F324" s="20" t="s">
        <v>42</v>
      </c>
      <c r="G324" s="22" t="s">
        <v>64</v>
      </c>
      <c r="H324" s="19" t="s">
        <v>44</v>
      </c>
      <c r="I324" s="19" t="s">
        <v>106</v>
      </c>
      <c r="J324" s="19" t="s">
        <v>768</v>
      </c>
      <c r="K324" s="19" t="s">
        <v>170</v>
      </c>
      <c r="L324" s="19"/>
      <c r="M324" s="19" t="s">
        <v>241</v>
      </c>
      <c r="N324" s="19" t="s">
        <v>1616</v>
      </c>
      <c r="O324" s="19" t="s">
        <v>241</v>
      </c>
      <c r="P324" s="19" t="s">
        <v>1452</v>
      </c>
      <c r="Q324" s="19" t="s">
        <v>1108</v>
      </c>
      <c r="R324" s="19" t="s">
        <v>1614</v>
      </c>
      <c r="S324" s="19"/>
      <c r="T324" s="19" t="s">
        <v>52</v>
      </c>
      <c r="U324" s="19" t="s">
        <v>70</v>
      </c>
      <c r="V324" s="19" t="s">
        <v>54</v>
      </c>
      <c r="W324" s="19" t="s">
        <v>81</v>
      </c>
      <c r="X324" s="19" t="s">
        <v>158</v>
      </c>
      <c r="Y324" s="19" t="s">
        <v>158</v>
      </c>
      <c r="Z324" s="19" t="s">
        <v>1617</v>
      </c>
      <c r="AA324" s="19">
        <v>1</v>
      </c>
      <c r="AB324" s="19">
        <v>1</v>
      </c>
      <c r="AC324" s="19" t="s">
        <v>58</v>
      </c>
      <c r="AD324" s="19" t="s">
        <v>1452</v>
      </c>
      <c r="AE324" s="19" t="s">
        <v>965</v>
      </c>
      <c r="AF324" s="19" t="s">
        <v>1618</v>
      </c>
    </row>
    <row r="325" spans="1:34">
      <c r="A325" s="19">
        <v>317</v>
      </c>
      <c r="B325" s="19" t="s">
        <v>807</v>
      </c>
      <c r="C325" s="19" t="s">
        <v>809</v>
      </c>
      <c r="D325" s="19" t="str">
        <f>HYPERLINK("http://henontech.com/fieldsafety/harzard/harzard_show.php?rid=3911&amp;url=harzardrecs.php","风机房内二层平台多处灯泡不亮，视线不亮，职工夜间巡检不慎绊倒，造成手臂擦伤。")</f>
        <v>风机房内二层平台多处灯泡不亮，视线不亮，职工夜间巡检不慎绊倒，造成手臂擦伤。</v>
      </c>
      <c r="E325" s="19" t="s">
        <v>1619</v>
      </c>
      <c r="F325" s="20" t="s">
        <v>42</v>
      </c>
      <c r="G325" s="22" t="s">
        <v>64</v>
      </c>
      <c r="H325" s="19" t="s">
        <v>44</v>
      </c>
      <c r="I325" s="19" t="s">
        <v>97</v>
      </c>
      <c r="J325" s="19" t="s">
        <v>45</v>
      </c>
      <c r="K325" s="19" t="s">
        <v>170</v>
      </c>
      <c r="L325" s="19" t="s">
        <v>99</v>
      </c>
      <c r="M325" s="19" t="s">
        <v>334</v>
      </c>
      <c r="N325" s="19" t="s">
        <v>493</v>
      </c>
      <c r="O325" s="19" t="s">
        <v>334</v>
      </c>
      <c r="P325" s="19" t="s">
        <v>346</v>
      </c>
      <c r="Q325" s="19" t="s">
        <v>1286</v>
      </c>
      <c r="R325" s="19" t="s">
        <v>1620</v>
      </c>
      <c r="S325" s="19"/>
      <c r="T325" s="19" t="s">
        <v>52</v>
      </c>
      <c r="U325" s="19" t="s">
        <v>70</v>
      </c>
      <c r="V325" s="19" t="s">
        <v>71</v>
      </c>
      <c r="W325" s="19" t="s">
        <v>72</v>
      </c>
      <c r="X325" s="19"/>
      <c r="Y325" s="19"/>
      <c r="Z325" s="19" t="s">
        <v>1621</v>
      </c>
      <c r="AA325" s="19">
        <v>1</v>
      </c>
      <c r="AB325" s="19">
        <v>1</v>
      </c>
      <c r="AC325" s="19" t="s">
        <v>58</v>
      </c>
      <c r="AD325" s="19" t="s">
        <v>346</v>
      </c>
      <c r="AE325" s="19" t="s">
        <v>724</v>
      </c>
      <c r="AF325" s="19"/>
    </row>
    <row r="326" spans="1:34">
      <c r="A326" s="19">
        <v>318</v>
      </c>
      <c r="B326" s="19" t="s">
        <v>807</v>
      </c>
      <c r="C326" s="19" t="s">
        <v>578</v>
      </c>
      <c r="D326" s="19" t="str">
        <f>HYPERLINK("http://henontech.com/fieldsafety/harzard/harzard_show.php?rid=3912&amp;url=harzardrecs.php","除铁器未设防护罩，员工工作时不慎将右手食指卷入皮带机轮，送医院确诊右手食指骨折，住院治疗30天，在家休养92天后康复")</f>
        <v>除铁器未设防护罩，员工工作时不慎将右手食指卷入皮带机轮，送医院确诊右手食指骨折，住院治疗30天，在家休养92天后康复</v>
      </c>
      <c r="E326" s="19" t="s">
        <v>1622</v>
      </c>
      <c r="F326" s="20" t="s">
        <v>42</v>
      </c>
      <c r="G326" s="21" t="s">
        <v>43</v>
      </c>
      <c r="H326" s="19" t="s">
        <v>44</v>
      </c>
      <c r="I326" s="19" t="s">
        <v>97</v>
      </c>
      <c r="J326" s="19" t="s">
        <v>45</v>
      </c>
      <c r="K326" s="19" t="s">
        <v>170</v>
      </c>
      <c r="L326" s="19" t="s">
        <v>252</v>
      </c>
      <c r="M326" s="19" t="s">
        <v>565</v>
      </c>
      <c r="N326" s="19" t="s">
        <v>1623</v>
      </c>
      <c r="O326" s="19" t="s">
        <v>565</v>
      </c>
      <c r="P326" s="19" t="s">
        <v>627</v>
      </c>
      <c r="Q326" s="19" t="s">
        <v>965</v>
      </c>
      <c r="R326" s="19" t="s">
        <v>1062</v>
      </c>
      <c r="S326" s="19"/>
      <c r="T326" s="19" t="s">
        <v>52</v>
      </c>
      <c r="U326" s="19" t="s">
        <v>89</v>
      </c>
      <c r="V326" s="19" t="s">
        <v>71</v>
      </c>
      <c r="W326" s="19" t="s">
        <v>55</v>
      </c>
      <c r="X326" s="19"/>
      <c r="Y326" s="19"/>
      <c r="Z326" s="19" t="s">
        <v>1624</v>
      </c>
      <c r="AA326" s="19">
        <v>1</v>
      </c>
      <c r="AB326" s="19">
        <v>1</v>
      </c>
      <c r="AC326" s="19" t="s">
        <v>58</v>
      </c>
      <c r="AD326" s="19" t="s">
        <v>627</v>
      </c>
      <c r="AE326" s="19" t="s">
        <v>965</v>
      </c>
      <c r="AF326" s="19"/>
    </row>
    <row r="327" spans="1:34">
      <c r="A327" s="19">
        <v>319</v>
      </c>
      <c r="B327" s="19" t="s">
        <v>807</v>
      </c>
      <c r="C327" s="19" t="s">
        <v>1579</v>
      </c>
      <c r="D327" s="19" t="str">
        <f>HYPERLINK("http://henontech.com/fieldsafety/harzard/harzard_show.php?rid=3915&amp;url=harzardrecs.php","100立方米液氨储槽平台铺板缺失，维修人员平台作业时不小心一脚踏入，造成小腿损伤，住院治疗后，回家休息10天。")</f>
        <v>100立方米液氨储槽平台铺板缺失，维修人员平台作业时不小心一脚踏入，造成小腿损伤，住院治疗后，回家休息10天。</v>
      </c>
      <c r="E327" s="19" t="s">
        <v>1625</v>
      </c>
      <c r="F327" s="20" t="s">
        <v>42</v>
      </c>
      <c r="G327" s="22" t="s">
        <v>64</v>
      </c>
      <c r="H327" s="19" t="s">
        <v>44</v>
      </c>
      <c r="I327" s="19" t="s">
        <v>97</v>
      </c>
      <c r="J327" s="19" t="s">
        <v>45</v>
      </c>
      <c r="K327" s="19" t="s">
        <v>216</v>
      </c>
      <c r="L327" s="19" t="s">
        <v>99</v>
      </c>
      <c r="M327" s="19" t="s">
        <v>241</v>
      </c>
      <c r="N327" s="19" t="s">
        <v>321</v>
      </c>
      <c r="O327" s="19" t="s">
        <v>241</v>
      </c>
      <c r="P327" s="19" t="s">
        <v>321</v>
      </c>
      <c r="Q327" s="19" t="s">
        <v>1286</v>
      </c>
      <c r="R327" s="19" t="s">
        <v>1626</v>
      </c>
      <c r="S327" s="19"/>
      <c r="T327" s="19" t="s">
        <v>52</v>
      </c>
      <c r="U327" s="19" t="s">
        <v>89</v>
      </c>
      <c r="V327" s="19" t="s">
        <v>71</v>
      </c>
      <c r="W327" s="19" t="s">
        <v>55</v>
      </c>
      <c r="X327" s="19" t="s">
        <v>73</v>
      </c>
      <c r="Y327" s="19" t="s">
        <v>246</v>
      </c>
      <c r="Z327" s="19" t="s">
        <v>1627</v>
      </c>
      <c r="AA327" s="19">
        <v>1</v>
      </c>
      <c r="AB327" s="19">
        <v>1</v>
      </c>
      <c r="AC327" s="19" t="s">
        <v>58</v>
      </c>
      <c r="AD327" s="19" t="s">
        <v>321</v>
      </c>
      <c r="AE327" s="19" t="s">
        <v>807</v>
      </c>
      <c r="AF327" s="19" t="s">
        <v>1628</v>
      </c>
    </row>
    <row r="328" spans="1:34">
      <c r="A328" s="19">
        <v>320</v>
      </c>
      <c r="B328" s="19" t="s">
        <v>807</v>
      </c>
      <c r="C328" s="19" t="s">
        <v>1184</v>
      </c>
      <c r="D328" s="19" t="str">
        <f>HYPERLINK("http://henontech.com/fieldsafety/harzard/harzard_show.php?rid=3917&amp;url=harzardrecs.php","煤仓料位窥视孔无遮拦，一巡检工巡检时不慎坠落导致脚踝脱臼。医院就医，居家休养7天，损工7天。")</f>
        <v>煤仓料位窥视孔无遮拦，一巡检工巡检时不慎坠落导致脚踝脱臼。医院就医，居家休养7天，损工7天。</v>
      </c>
      <c r="E328" s="19" t="s">
        <v>1629</v>
      </c>
      <c r="F328" s="20" t="s">
        <v>42</v>
      </c>
      <c r="G328" s="21" t="s">
        <v>43</v>
      </c>
      <c r="H328" s="19" t="s">
        <v>44</v>
      </c>
      <c r="I328" s="19" t="s">
        <v>106</v>
      </c>
      <c r="J328" s="19" t="s">
        <v>45</v>
      </c>
      <c r="K328" s="19" t="s">
        <v>170</v>
      </c>
      <c r="L328" s="19" t="s">
        <v>99</v>
      </c>
      <c r="M328" s="19" t="s">
        <v>663</v>
      </c>
      <c r="N328" s="19" t="s">
        <v>1630</v>
      </c>
      <c r="O328" s="19" t="s">
        <v>663</v>
      </c>
      <c r="P328" s="19" t="s">
        <v>664</v>
      </c>
      <c r="Q328" s="19" t="s">
        <v>1108</v>
      </c>
      <c r="R328" s="19" t="s">
        <v>1631</v>
      </c>
      <c r="S328" s="19"/>
      <c r="T328" s="19" t="s">
        <v>52</v>
      </c>
      <c r="U328" s="19" t="s">
        <v>70</v>
      </c>
      <c r="V328" s="19" t="s">
        <v>54</v>
      </c>
      <c r="W328" s="19" t="s">
        <v>81</v>
      </c>
      <c r="X328" s="19"/>
      <c r="Y328" s="19"/>
      <c r="Z328" s="19" t="s">
        <v>1632</v>
      </c>
      <c r="AA328" s="19">
        <v>1</v>
      </c>
      <c r="AB328" s="19">
        <v>1</v>
      </c>
      <c r="AC328" s="19" t="s">
        <v>58</v>
      </c>
      <c r="AD328" s="19" t="s">
        <v>664</v>
      </c>
      <c r="AE328" s="19" t="s">
        <v>965</v>
      </c>
      <c r="AF328" s="19"/>
    </row>
    <row r="329" spans="1:34">
      <c r="A329" s="19">
        <v>321</v>
      </c>
      <c r="B329" s="19" t="s">
        <v>807</v>
      </c>
      <c r="C329" s="19" t="s">
        <v>837</v>
      </c>
      <c r="D329" s="19" t="str">
        <f>HYPERLINK("http://henontech.com/fieldsafety/harzard/harzard_show.php?rid=3921&amp;url=harzardrecs.php","北蒸氨塔底部放空阀泄漏蒸汽，一名操作工靠近废水槽，观察液位时，被蒸汽灼伤面部皮肤，去医务室包扎治疗，并修养3天。")</f>
        <v>北蒸氨塔底部放空阀泄漏蒸汽，一名操作工靠近废水槽，观察液位时，被蒸汽灼伤面部皮肤，去医务室包扎治疗，并修养3天。</v>
      </c>
      <c r="E329" s="19" t="s">
        <v>1633</v>
      </c>
      <c r="F329" s="20" t="s">
        <v>42</v>
      </c>
      <c r="G329" s="22" t="s">
        <v>64</v>
      </c>
      <c r="H329" s="19" t="s">
        <v>44</v>
      </c>
      <c r="I329" s="19"/>
      <c r="J329" s="19" t="s">
        <v>45</v>
      </c>
      <c r="K329" s="19"/>
      <c r="L329" s="19"/>
      <c r="M329" s="19" t="s">
        <v>241</v>
      </c>
      <c r="N329" s="19" t="s">
        <v>305</v>
      </c>
      <c r="O329" s="19" t="s">
        <v>334</v>
      </c>
      <c r="P329" s="19" t="s">
        <v>346</v>
      </c>
      <c r="Q329" s="19" t="s">
        <v>1286</v>
      </c>
      <c r="R329" s="19" t="s">
        <v>1634</v>
      </c>
      <c r="S329" s="19"/>
      <c r="T329" s="19" t="s">
        <v>52</v>
      </c>
      <c r="U329" s="19" t="s">
        <v>89</v>
      </c>
      <c r="V329" s="19" t="s">
        <v>71</v>
      </c>
      <c r="W329" s="19" t="s">
        <v>55</v>
      </c>
      <c r="X329" s="19"/>
      <c r="Y329" s="19"/>
      <c r="Z329" s="19" t="s">
        <v>1635</v>
      </c>
      <c r="AA329" s="19">
        <v>1</v>
      </c>
      <c r="AB329" s="19">
        <v>1</v>
      </c>
      <c r="AC329" s="19" t="s">
        <v>58</v>
      </c>
      <c r="AD329" s="19" t="s">
        <v>346</v>
      </c>
      <c r="AE329" s="19" t="s">
        <v>807</v>
      </c>
      <c r="AF329" s="19"/>
    </row>
    <row r="330" spans="1:34">
      <c r="A330" s="19">
        <v>322</v>
      </c>
      <c r="B330" s="19" t="s">
        <v>807</v>
      </c>
      <c r="C330" s="19" t="s">
        <v>1636</v>
      </c>
      <c r="D330" s="19" t="str">
        <f>HYPERLINK("http://henontech.com/fieldsafety/harzard/harzard_show.php?rid=3923&amp;url=harzardrecs.php","踩翻地沟篦子摔伤小腿骨折")</f>
        <v>踩翻地沟篦子摔伤小腿骨折</v>
      </c>
      <c r="E330" s="19" t="s">
        <v>1637</v>
      </c>
      <c r="F330" s="20" t="s">
        <v>42</v>
      </c>
      <c r="G330" s="22" t="s">
        <v>64</v>
      </c>
      <c r="H330" s="19" t="s">
        <v>592</v>
      </c>
      <c r="I330" s="19" t="s">
        <v>119</v>
      </c>
      <c r="J330" s="19" t="s">
        <v>1638</v>
      </c>
      <c r="K330" s="19"/>
      <c r="L330" s="19"/>
      <c r="M330" s="19" t="s">
        <v>46</v>
      </c>
      <c r="N330" s="19" t="s">
        <v>1264</v>
      </c>
      <c r="O330" s="19" t="s">
        <v>663</v>
      </c>
      <c r="P330" s="19" t="s">
        <v>664</v>
      </c>
      <c r="Q330" s="19" t="s">
        <v>1108</v>
      </c>
      <c r="R330" s="19" t="s">
        <v>1639</v>
      </c>
      <c r="S330" s="19"/>
      <c r="T330" s="19" t="s">
        <v>52</v>
      </c>
      <c r="U330" s="19" t="s">
        <v>89</v>
      </c>
      <c r="V330" s="19" t="s">
        <v>71</v>
      </c>
      <c r="W330" s="19" t="s">
        <v>55</v>
      </c>
      <c r="X330" s="19"/>
      <c r="Y330" s="19"/>
      <c r="Z330" s="19" t="s">
        <v>1640</v>
      </c>
      <c r="AA330" s="19">
        <v>1</v>
      </c>
      <c r="AB330" s="19">
        <v>1</v>
      </c>
      <c r="AC330" s="19" t="s">
        <v>58</v>
      </c>
      <c r="AD330" s="19" t="s">
        <v>664</v>
      </c>
      <c r="AE330" s="19" t="s">
        <v>965</v>
      </c>
      <c r="AF330" s="19"/>
    </row>
    <row r="331" spans="1:34" customHeight="1" ht="42">
      <c r="A331" s="19">
        <v>323</v>
      </c>
      <c r="B331" s="19" t="s">
        <v>807</v>
      </c>
      <c r="C331" s="19" t="s">
        <v>1641</v>
      </c>
      <c r="D331" s="19" t="str">
        <f>HYPERLINK("http://henontech.com/fieldsafety/harzard/harzard_show.php?rid=3926&amp;url=harzardrecs.php","新化水厂房南端灭火器喷管损坏，如果发生火灾，起不到灭火作用，易造成财产损失")</f>
        <v>新化水厂房南端灭火器喷管损坏，如果发生火灾，起不到灭火作用，易造成财产损失</v>
      </c>
      <c r="E331" s="19" t="s">
        <v>1642</v>
      </c>
      <c r="F331" s="20" t="s">
        <v>42</v>
      </c>
      <c r="G331" s="22" t="s">
        <v>64</v>
      </c>
      <c r="H331" s="19" t="s">
        <v>44</v>
      </c>
      <c r="I331" s="19" t="s">
        <v>97</v>
      </c>
      <c r="J331" s="19" t="s">
        <v>45</v>
      </c>
      <c r="K331" s="19" t="s">
        <v>170</v>
      </c>
      <c r="L331" s="19" t="s">
        <v>99</v>
      </c>
      <c r="M331" s="19" t="s">
        <v>663</v>
      </c>
      <c r="N331" s="19" t="s">
        <v>1643</v>
      </c>
      <c r="O331" s="19" t="s">
        <v>663</v>
      </c>
      <c r="P331" s="19" t="s">
        <v>664</v>
      </c>
      <c r="Q331" s="19" t="s">
        <v>926</v>
      </c>
      <c r="R331" s="19" t="s">
        <v>1644</v>
      </c>
      <c r="S331" s="19"/>
      <c r="T331" s="19" t="s">
        <v>78</v>
      </c>
      <c r="U331" s="19" t="s">
        <v>79</v>
      </c>
      <c r="V331" s="19" t="s">
        <v>124</v>
      </c>
      <c r="W331" s="19" t="s">
        <v>81</v>
      </c>
      <c r="X331" s="19" t="s">
        <v>73</v>
      </c>
      <c r="Y331" s="19"/>
      <c r="Z331" s="19" t="s">
        <v>1645</v>
      </c>
      <c r="AA331" s="19">
        <v>2</v>
      </c>
      <c r="AB331" s="19">
        <v>2</v>
      </c>
      <c r="AC331" s="19" t="s">
        <v>58</v>
      </c>
      <c r="AD331" s="19" t="s">
        <v>664</v>
      </c>
      <c r="AE331" s="19" t="s">
        <v>932</v>
      </c>
      <c r="AF331" s="19"/>
    </row>
    <row r="332" spans="1:34">
      <c r="A332" s="19">
        <v>324</v>
      </c>
      <c r="B332" s="19" t="s">
        <v>807</v>
      </c>
      <c r="C332" s="19" t="s">
        <v>898</v>
      </c>
      <c r="D332" s="19" t="str">
        <f>HYPERLINK("http://henontech.com/fieldsafety/harzard/harzard_show.php?rid=3939&amp;url=harzardrecs.php","巡检工巡检时如果未发现地沟篦子:烂了不慎踩上断裂造成人员伤害")</f>
        <v>巡检工巡检时如果未发现地沟篦子:烂了不慎踩上断裂造成人员伤害</v>
      </c>
      <c r="E332" s="19" t="s">
        <v>1646</v>
      </c>
      <c r="F332" s="20" t="s">
        <v>42</v>
      </c>
      <c r="G332" s="22" t="s">
        <v>64</v>
      </c>
      <c r="H332" s="19" t="s">
        <v>44</v>
      </c>
      <c r="I332" s="19" t="s">
        <v>106</v>
      </c>
      <c r="J332" s="19" t="s">
        <v>45</v>
      </c>
      <c r="K332" s="19"/>
      <c r="L332" s="19"/>
      <c r="M332" s="19" t="s">
        <v>663</v>
      </c>
      <c r="N332" s="19" t="s">
        <v>1647</v>
      </c>
      <c r="O332" s="19" t="s">
        <v>663</v>
      </c>
      <c r="P332" s="19" t="s">
        <v>664</v>
      </c>
      <c r="Q332" s="19" t="s">
        <v>1108</v>
      </c>
      <c r="R332" s="19" t="s">
        <v>1648</v>
      </c>
      <c r="S332" s="19"/>
      <c r="T332" s="19" t="s">
        <v>52</v>
      </c>
      <c r="U332" s="19" t="s">
        <v>89</v>
      </c>
      <c r="V332" s="19" t="s">
        <v>54</v>
      </c>
      <c r="W332" s="19" t="s">
        <v>72</v>
      </c>
      <c r="X332" s="19"/>
      <c r="Y332" s="19"/>
      <c r="Z332" s="19" t="s">
        <v>1649</v>
      </c>
      <c r="AA332" s="19">
        <v>1</v>
      </c>
      <c r="AB332" s="19">
        <v>1</v>
      </c>
      <c r="AC332" s="19" t="s">
        <v>58</v>
      </c>
      <c r="AD332" s="19" t="s">
        <v>664</v>
      </c>
      <c r="AE332" s="19" t="s">
        <v>932</v>
      </c>
      <c r="AF332" s="19"/>
    </row>
    <row r="333" spans="1:34">
      <c r="A333" s="19">
        <v>325</v>
      </c>
      <c r="B333" s="19" t="s">
        <v>807</v>
      </c>
      <c r="C333" s="19" t="s">
        <v>563</v>
      </c>
      <c r="D333" s="19" t="str">
        <f>HYPERLINK("http://henontech.com/fieldsafety/harzard/harzard_show.php?rid=3946&amp;url=harzardrecs.php","一名操作工在挂横幅时，不慎跌落摔伤腿部，送医治疗，经医生确诊，右腿脚腕扭伤，住院治疗3天，回家休养2天后复工。")</f>
        <v>一名操作工在挂横幅时，不慎跌落摔伤腿部，送医治疗，经医生确诊，右腿脚腕扭伤，住院治疗3天，回家休养2天后复工。</v>
      </c>
      <c r="E333" s="19" t="s">
        <v>1650</v>
      </c>
      <c r="F333" s="20" t="s">
        <v>42</v>
      </c>
      <c r="G333" s="22" t="s">
        <v>64</v>
      </c>
      <c r="H333" s="19" t="s">
        <v>44</v>
      </c>
      <c r="I333" s="19" t="s">
        <v>119</v>
      </c>
      <c r="J333" s="19" t="s">
        <v>527</v>
      </c>
      <c r="K333" s="19" t="s">
        <v>108</v>
      </c>
      <c r="L333" s="19" t="s">
        <v>99</v>
      </c>
      <c r="M333" s="19" t="s">
        <v>565</v>
      </c>
      <c r="N333" s="19" t="s">
        <v>683</v>
      </c>
      <c r="O333" s="19" t="s">
        <v>565</v>
      </c>
      <c r="P333" s="19" t="s">
        <v>627</v>
      </c>
      <c r="Q333" s="19" t="s">
        <v>840</v>
      </c>
      <c r="R333" s="19" t="s">
        <v>1651</v>
      </c>
      <c r="S333" s="19"/>
      <c r="T333" s="19" t="s">
        <v>52</v>
      </c>
      <c r="U333" s="19" t="s">
        <v>89</v>
      </c>
      <c r="V333" s="19" t="s">
        <v>71</v>
      </c>
      <c r="W333" s="19" t="s">
        <v>55</v>
      </c>
      <c r="X333" s="19"/>
      <c r="Y333" s="19"/>
      <c r="Z333" s="19" t="s">
        <v>1652</v>
      </c>
      <c r="AA333" s="19">
        <v>1</v>
      </c>
      <c r="AB333" s="19">
        <v>1</v>
      </c>
      <c r="AC333" s="19" t="s">
        <v>58</v>
      </c>
      <c r="AD333" s="19" t="s">
        <v>627</v>
      </c>
      <c r="AE333" s="19" t="s">
        <v>965</v>
      </c>
      <c r="AF333" s="19"/>
    </row>
    <row r="334" spans="1:34">
      <c r="A334" s="19">
        <v>326</v>
      </c>
      <c r="B334" s="19" t="s">
        <v>807</v>
      </c>
      <c r="C334" s="19" t="s">
        <v>1252</v>
      </c>
      <c r="D334" s="19" t="str">
        <f>HYPERLINK("http://henontech.com/fieldsafety/harzard/harzard_show.php?rid=3948&amp;url=harzardrecs.php","电捕水封槽管架处遇大风刮落一窗户框在管架处，如果操作工在管架下部开关阀门时可能会被窗户框坠落砸伤背部，送医院治疗3天后出院在家休养一个月复工。")</f>
        <v>电捕水封槽管架处遇大风刮落一窗户框在管架处，如果操作工在管架下部开关阀门时可能会被窗户框坠落砸伤背部，送医院治疗3天后出院在家休养一个月复工。</v>
      </c>
      <c r="E334" s="19" t="s">
        <v>1653</v>
      </c>
      <c r="F334" s="20" t="s">
        <v>42</v>
      </c>
      <c r="G334" s="22" t="s">
        <v>64</v>
      </c>
      <c r="H334" s="19" t="s">
        <v>44</v>
      </c>
      <c r="I334" s="19"/>
      <c r="J334" s="19" t="s">
        <v>45</v>
      </c>
      <c r="K334" s="19" t="s">
        <v>108</v>
      </c>
      <c r="L334" s="19" t="s">
        <v>99</v>
      </c>
      <c r="M334" s="19" t="s">
        <v>334</v>
      </c>
      <c r="N334" s="19" t="s">
        <v>839</v>
      </c>
      <c r="O334" s="19" t="s">
        <v>334</v>
      </c>
      <c r="P334" s="19" t="s">
        <v>346</v>
      </c>
      <c r="Q334" s="19" t="s">
        <v>1554</v>
      </c>
      <c r="R334" s="19" t="s">
        <v>1654</v>
      </c>
      <c r="S334" s="19"/>
      <c r="T334" s="19" t="s">
        <v>52</v>
      </c>
      <c r="U334" s="19" t="s">
        <v>89</v>
      </c>
      <c r="V334" s="19" t="s">
        <v>54</v>
      </c>
      <c r="W334" s="19" t="s">
        <v>72</v>
      </c>
      <c r="X334" s="19"/>
      <c r="Y334" s="19"/>
      <c r="Z334" s="19" t="s">
        <v>1655</v>
      </c>
      <c r="AA334" s="19">
        <v>1</v>
      </c>
      <c r="AB334" s="19">
        <v>1</v>
      </c>
      <c r="AC334" s="19" t="s">
        <v>58</v>
      </c>
      <c r="AD334" s="19" t="s">
        <v>346</v>
      </c>
      <c r="AE334" s="19" t="s">
        <v>843</v>
      </c>
      <c r="AF334" s="19"/>
    </row>
    <row r="335" spans="1:34">
      <c r="A335" s="19">
        <v>327</v>
      </c>
      <c r="B335" s="19" t="s">
        <v>807</v>
      </c>
      <c r="C335" s="19" t="s">
        <v>903</v>
      </c>
      <c r="D335" s="19" t="str">
        <f>HYPERLINK("http://henontech.com/fieldsafety/harzard/harzard_show.php?rid=3952&amp;url=harzardrecs.php","东冷凝低位槽人孔未遮盖，一旦巡检人员在夜间巡检时，由于光线暗，一只脚踩空落入人孔内，被槽内的循环氨水烫伤，经医院处理，在家休养15天后康复，造成一人损工事故，一人损工15天天")</f>
        <v>东冷凝低位槽人孔未遮盖，一旦巡检人员在夜间巡检时，由于光线暗，一只脚踩空落入人孔内，被槽内的循环氨水烫伤，经医院处理，在家休养15天后康复，造成一人损工事故，一人损工15天天</v>
      </c>
      <c r="E335" s="19" t="s">
        <v>1656</v>
      </c>
      <c r="F335" s="20" t="s">
        <v>42</v>
      </c>
      <c r="G335" s="22" t="s">
        <v>64</v>
      </c>
      <c r="H335" s="19" t="s">
        <v>44</v>
      </c>
      <c r="I335" s="19" t="s">
        <v>119</v>
      </c>
      <c r="J335" s="19" t="s">
        <v>45</v>
      </c>
      <c r="K335" s="19" t="s">
        <v>108</v>
      </c>
      <c r="L335" s="19" t="s">
        <v>99</v>
      </c>
      <c r="M335" s="19" t="s">
        <v>334</v>
      </c>
      <c r="N335" s="19" t="s">
        <v>1657</v>
      </c>
      <c r="O335" s="19" t="s">
        <v>334</v>
      </c>
      <c r="P335" s="19" t="s">
        <v>346</v>
      </c>
      <c r="Q335" s="19" t="s">
        <v>1554</v>
      </c>
      <c r="R335" s="19" t="s">
        <v>1658</v>
      </c>
      <c r="S335" s="19"/>
      <c r="T335" s="19" t="s">
        <v>52</v>
      </c>
      <c r="U335" s="19" t="s">
        <v>89</v>
      </c>
      <c r="V335" s="19" t="s">
        <v>54</v>
      </c>
      <c r="W335" s="19" t="s">
        <v>72</v>
      </c>
      <c r="X335" s="19"/>
      <c r="Y335" s="19"/>
      <c r="Z335" s="19" t="s">
        <v>1659</v>
      </c>
      <c r="AA335" s="19">
        <v>1</v>
      </c>
      <c r="AB335" s="19">
        <v>1</v>
      </c>
      <c r="AC335" s="19" t="s">
        <v>58</v>
      </c>
      <c r="AD335" s="19" t="s">
        <v>346</v>
      </c>
      <c r="AE335" s="19" t="s">
        <v>819</v>
      </c>
      <c r="AF335" s="19"/>
    </row>
    <row r="336" spans="1:34">
      <c r="A336" s="19">
        <v>328</v>
      </c>
      <c r="B336" s="19" t="s">
        <v>965</v>
      </c>
      <c r="C336" s="19" t="s">
        <v>491</v>
      </c>
      <c r="D336" s="19" t="str">
        <f>HYPERLINK("http://henontech.com/fieldsafety/harzard/harzard_show.php?rid=3968&amp;url=harzardrecs.php","2#电捕焦油器进口煤气管道与电捕连接处腐蚀严重，如果长期不进行处理，可能导致该处因腐蚀严重出现破损，电捕吸入空气含氧量超标发生爆炸，造成一名巡检经过此处的操作人员当场死亡。")</f>
        <v>2#电捕焦油器进口煤气管道与电捕连接处腐蚀严重，如果长期不进行处理，可能导致该处因腐蚀严重出现破损，电捕吸入空气含氧量超标发生爆炸，造成一名巡检经过此处的操作人员当场死亡。</v>
      </c>
      <c r="E336" s="19" t="s">
        <v>1660</v>
      </c>
      <c r="F336" s="20" t="s">
        <v>42</v>
      </c>
      <c r="G336" s="21" t="s">
        <v>43</v>
      </c>
      <c r="H336" s="19" t="s">
        <v>44</v>
      </c>
      <c r="I336" s="19" t="s">
        <v>97</v>
      </c>
      <c r="J336" s="19" t="s">
        <v>175</v>
      </c>
      <c r="K336" s="19" t="s">
        <v>108</v>
      </c>
      <c r="L336" s="19" t="s">
        <v>99</v>
      </c>
      <c r="M336" s="19" t="s">
        <v>334</v>
      </c>
      <c r="N336" s="19" t="s">
        <v>471</v>
      </c>
      <c r="O336" s="19" t="s">
        <v>334</v>
      </c>
      <c r="P336" s="19" t="s">
        <v>346</v>
      </c>
      <c r="Q336" s="19" t="s">
        <v>1554</v>
      </c>
      <c r="R336" s="19" t="s">
        <v>1661</v>
      </c>
      <c r="S336" s="19"/>
      <c r="T336" s="19" t="s">
        <v>52</v>
      </c>
      <c r="U336" s="19" t="s">
        <v>53</v>
      </c>
      <c r="V336" s="19" t="s">
        <v>54</v>
      </c>
      <c r="W336" s="19" t="s">
        <v>55</v>
      </c>
      <c r="X336" s="19"/>
      <c r="Y336" s="19"/>
      <c r="Z336" s="19" t="s">
        <v>1662</v>
      </c>
      <c r="AA336" s="19">
        <v>1</v>
      </c>
      <c r="AB336" s="19">
        <v>1</v>
      </c>
      <c r="AC336" s="19" t="s">
        <v>58</v>
      </c>
      <c r="AD336" s="19" t="s">
        <v>346</v>
      </c>
      <c r="AE336" s="19" t="s">
        <v>1275</v>
      </c>
      <c r="AF336" s="19"/>
    </row>
    <row r="337" spans="1:34">
      <c r="A337" s="19">
        <v>329</v>
      </c>
      <c r="B337" s="19" t="s">
        <v>965</v>
      </c>
      <c r="C337" s="19" t="s">
        <v>351</v>
      </c>
      <c r="D337" s="19" t="str">
        <f>HYPERLINK("http://henontech.com/fieldsafety/harzard/harzard_show.php?rid=3974&amp;url=harzardrecs.php","南脱硫压滤机房南侧电缆桥架上有杂物，如果一名操作人员在大风天气巡检经过电缆桥架下方时，电缆桥架上杂物被大风吹落，造成一名巡检人员右手臂轻微划伤，经简单包扎后不影响正常工作。")</f>
        <v>南脱硫压滤机房南侧电缆桥架上有杂物，如果一名操作人员在大风天气巡检经过电缆桥架下方时，电缆桥架上杂物被大风吹落，造成一名巡检人员右手臂轻微划伤，经简单包扎后不影响正常工作。</v>
      </c>
      <c r="E337" s="19" t="s">
        <v>1663</v>
      </c>
      <c r="F337" s="20" t="s">
        <v>42</v>
      </c>
      <c r="G337" s="22" t="s">
        <v>64</v>
      </c>
      <c r="H337" s="19" t="s">
        <v>44</v>
      </c>
      <c r="I337" s="19" t="s">
        <v>97</v>
      </c>
      <c r="J337" s="19" t="s">
        <v>175</v>
      </c>
      <c r="K337" s="19" t="s">
        <v>108</v>
      </c>
      <c r="L337" s="19" t="s">
        <v>99</v>
      </c>
      <c r="M337" s="19" t="s">
        <v>334</v>
      </c>
      <c r="N337" s="19" t="s">
        <v>957</v>
      </c>
      <c r="O337" s="19" t="s">
        <v>334</v>
      </c>
      <c r="P337" s="19" t="s">
        <v>346</v>
      </c>
      <c r="Q337" s="19" t="s">
        <v>1554</v>
      </c>
      <c r="R337" s="19" t="s">
        <v>1664</v>
      </c>
      <c r="S337" s="19"/>
      <c r="T337" s="19" t="s">
        <v>52</v>
      </c>
      <c r="U337" s="19" t="s">
        <v>70</v>
      </c>
      <c r="V337" s="19" t="s">
        <v>71</v>
      </c>
      <c r="W337" s="19" t="s">
        <v>72</v>
      </c>
      <c r="X337" s="19"/>
      <c r="Y337" s="19"/>
      <c r="Z337" s="19" t="s">
        <v>919</v>
      </c>
      <c r="AA337" s="19">
        <v>1</v>
      </c>
      <c r="AB337" s="19">
        <v>1</v>
      </c>
      <c r="AC337" s="19" t="s">
        <v>58</v>
      </c>
      <c r="AD337" s="19" t="s">
        <v>346</v>
      </c>
      <c r="AE337" s="19" t="s">
        <v>843</v>
      </c>
      <c r="AF337" s="19"/>
    </row>
    <row r="338" spans="1:34" customHeight="1" ht="42">
      <c r="A338" s="19">
        <v>330</v>
      </c>
      <c r="B338" s="19" t="s">
        <v>965</v>
      </c>
      <c r="C338" s="19" t="s">
        <v>578</v>
      </c>
      <c r="D338" s="19" t="str">
        <f>HYPERLINK("http://henontech.com/fieldsafety/harzard/harzard_show.php?rid=3977&amp;url=harzardrecs.php","西五手拉葫芦护盖松动 操作工巡查经过下面 护盖掉落砸到头上 操作工按规定穿戴安全帽没有受伤 休息一会不影响工作")</f>
        <v>西五手拉葫芦护盖松动 操作工巡查经过下面 护盖掉落砸到头上 操作工按规定穿戴安全帽没有受伤 休息一会不影响工作</v>
      </c>
      <c r="E338" s="19" t="s">
        <v>1665</v>
      </c>
      <c r="F338" s="20" t="s">
        <v>42</v>
      </c>
      <c r="G338" s="22" t="s">
        <v>64</v>
      </c>
      <c r="H338" s="19" t="s">
        <v>44</v>
      </c>
      <c r="I338" s="19" t="s">
        <v>97</v>
      </c>
      <c r="J338" s="19" t="s">
        <v>527</v>
      </c>
      <c r="K338" s="19"/>
      <c r="L338" s="19"/>
      <c r="M338" s="19" t="s">
        <v>565</v>
      </c>
      <c r="N338" s="19" t="s">
        <v>1143</v>
      </c>
      <c r="O338" s="19" t="s">
        <v>565</v>
      </c>
      <c r="P338" s="19" t="s">
        <v>1144</v>
      </c>
      <c r="Q338" s="19" t="s">
        <v>1326</v>
      </c>
      <c r="R338" s="19" t="s">
        <v>581</v>
      </c>
      <c r="S338" s="19"/>
      <c r="T338" s="19" t="s">
        <v>52</v>
      </c>
      <c r="U338" s="19" t="s">
        <v>79</v>
      </c>
      <c r="V338" s="19" t="s">
        <v>54</v>
      </c>
      <c r="W338" s="19" t="s">
        <v>81</v>
      </c>
      <c r="X338" s="19"/>
      <c r="Y338" s="19"/>
      <c r="Z338" s="19" t="s">
        <v>1666</v>
      </c>
      <c r="AA338" s="19">
        <v>2</v>
      </c>
      <c r="AB338" s="19">
        <v>2</v>
      </c>
      <c r="AC338" s="19" t="s">
        <v>58</v>
      </c>
      <c r="AD338" s="19" t="s">
        <v>1144</v>
      </c>
      <c r="AE338" s="19" t="s">
        <v>840</v>
      </c>
      <c r="AF338" s="19"/>
    </row>
    <row r="339" spans="1:34">
      <c r="A339" s="19">
        <v>331</v>
      </c>
      <c r="B339" s="19" t="s">
        <v>965</v>
      </c>
      <c r="C339" s="19" t="s">
        <v>563</v>
      </c>
      <c r="D339" s="19" t="str">
        <f>HYPERLINK("http://henontech.com/fieldsafety/harzard/harzard_show.php?rid=3978&amp;url=harzardrecs.php","东煤场挡风墙挡风网掉落 有人员从从下面经过时 挡风网掉落砸到头上 轻微脑震荡送医治疗住院10天 在家修养20天")</f>
        <v>东煤场挡风墙挡风网掉落 有人员从从下面经过时 挡风网掉落砸到头上 轻微脑震荡送医治疗住院10天 在家修养20天</v>
      </c>
      <c r="E339" s="19" t="s">
        <v>1667</v>
      </c>
      <c r="F339" s="20" t="s">
        <v>42</v>
      </c>
      <c r="G339" s="22" t="s">
        <v>64</v>
      </c>
      <c r="H339" s="19" t="s">
        <v>44</v>
      </c>
      <c r="I339" s="19" t="s">
        <v>97</v>
      </c>
      <c r="J339" s="19" t="s">
        <v>527</v>
      </c>
      <c r="K339" s="19" t="s">
        <v>98</v>
      </c>
      <c r="L339" s="19"/>
      <c r="M339" s="19" t="s">
        <v>565</v>
      </c>
      <c r="N339" s="19" t="s">
        <v>1143</v>
      </c>
      <c r="O339" s="19" t="s">
        <v>565</v>
      </c>
      <c r="P339" s="19" t="s">
        <v>1144</v>
      </c>
      <c r="Q339" s="19" t="s">
        <v>1326</v>
      </c>
      <c r="R339" s="19" t="s">
        <v>1668</v>
      </c>
      <c r="S339" s="19"/>
      <c r="T339" s="19" t="s">
        <v>52</v>
      </c>
      <c r="U339" s="19" t="s">
        <v>70</v>
      </c>
      <c r="V339" s="19" t="s">
        <v>54</v>
      </c>
      <c r="W339" s="19" t="s">
        <v>81</v>
      </c>
      <c r="X339" s="19"/>
      <c r="Y339" s="19"/>
      <c r="Z339" s="19" t="s">
        <v>1669</v>
      </c>
      <c r="AA339" s="19">
        <v>1</v>
      </c>
      <c r="AB339" s="19">
        <v>1</v>
      </c>
      <c r="AC339" s="19" t="s">
        <v>58</v>
      </c>
      <c r="AD339" s="19" t="s">
        <v>1144</v>
      </c>
      <c r="AE339" s="19" t="s">
        <v>840</v>
      </c>
      <c r="AF339" s="19"/>
    </row>
    <row r="340" spans="1:34">
      <c r="A340" s="19">
        <v>332</v>
      </c>
      <c r="B340" s="19" t="s">
        <v>965</v>
      </c>
      <c r="C340" s="19" t="s">
        <v>1670</v>
      </c>
      <c r="D340" s="19" t="str">
        <f>HYPERLINK("http://henontech.com/fieldsafety/harzard/harzard_show.php?rid=3979&amp;url=harzardrecs.php","焦渣掺配处减速机皮带轮护罩开焊 操作工经过时不慎衣服袖子被卷进去 造成右前臂骨折送医治疗住院一个月在家修养90天")</f>
        <v>焦渣掺配处减速机皮带轮护罩开焊 操作工经过时不慎衣服袖子被卷进去 造成右前臂骨折送医治疗住院一个月在家修养90天</v>
      </c>
      <c r="E340" s="19" t="s">
        <v>1671</v>
      </c>
      <c r="F340" s="20" t="s">
        <v>42</v>
      </c>
      <c r="G340" s="22" t="s">
        <v>64</v>
      </c>
      <c r="H340" s="19" t="s">
        <v>44</v>
      </c>
      <c r="I340" s="19" t="s">
        <v>119</v>
      </c>
      <c r="J340" s="19" t="s">
        <v>45</v>
      </c>
      <c r="K340" s="19"/>
      <c r="L340" s="19"/>
      <c r="M340" s="19" t="s">
        <v>565</v>
      </c>
      <c r="N340" s="19" t="s">
        <v>1143</v>
      </c>
      <c r="O340" s="19" t="s">
        <v>565</v>
      </c>
      <c r="P340" s="19" t="s">
        <v>1144</v>
      </c>
      <c r="Q340" s="19" t="s">
        <v>1326</v>
      </c>
      <c r="R340" s="19" t="s">
        <v>1672</v>
      </c>
      <c r="S340" s="19"/>
      <c r="T340" s="19" t="s">
        <v>52</v>
      </c>
      <c r="U340" s="19" t="s">
        <v>70</v>
      </c>
      <c r="V340" s="19" t="s">
        <v>54</v>
      </c>
      <c r="W340" s="19" t="s">
        <v>81</v>
      </c>
      <c r="X340" s="19"/>
      <c r="Y340" s="19"/>
      <c r="Z340" s="19" t="s">
        <v>1673</v>
      </c>
      <c r="AA340" s="19">
        <v>1</v>
      </c>
      <c r="AB340" s="19">
        <v>1</v>
      </c>
      <c r="AC340" s="19" t="s">
        <v>58</v>
      </c>
      <c r="AD340" s="19" t="s">
        <v>1144</v>
      </c>
      <c r="AE340" s="19" t="s">
        <v>840</v>
      </c>
      <c r="AF340" s="19"/>
    </row>
    <row r="341" spans="1:34" customHeight="1" ht="42">
      <c r="A341" s="19">
        <v>333</v>
      </c>
      <c r="B341" s="19" t="s">
        <v>965</v>
      </c>
      <c r="C341" s="19" t="s">
        <v>1674</v>
      </c>
      <c r="D341" s="19" t="str">
        <f>HYPERLINK("http://henontech.com/fieldsafety/harzard/harzard_show.php?rid=3982&amp;url=harzardrecs.php","一操作工在夜间巡检时，由于光线暗，一只脚踩空掉落管孔内，造成左脚小脚趾骨折，入院治疗15天，回家休养30天，造成一人损工事故")</f>
        <v>一操作工在夜间巡检时，由于光线暗，一只脚踩空掉落管孔内，造成左脚小脚趾骨折，入院治疗15天，回家休养30天，造成一人损工事故</v>
      </c>
      <c r="E341" s="19" t="s">
        <v>1675</v>
      </c>
      <c r="F341" s="25" t="s">
        <v>828</v>
      </c>
      <c r="G341" s="22" t="s">
        <v>64</v>
      </c>
      <c r="H341" s="19" t="s">
        <v>998</v>
      </c>
      <c r="I341" s="19" t="s">
        <v>97</v>
      </c>
      <c r="J341" s="19" t="s">
        <v>45</v>
      </c>
      <c r="K341" s="19"/>
      <c r="L341" s="19"/>
      <c r="M341" s="19" t="s">
        <v>663</v>
      </c>
      <c r="N341" s="19" t="s">
        <v>1676</v>
      </c>
      <c r="O341" s="19" t="s">
        <v>663</v>
      </c>
      <c r="P341" s="19" t="s">
        <v>1347</v>
      </c>
      <c r="Q341" s="19" t="s">
        <v>926</v>
      </c>
      <c r="R341" s="19" t="s">
        <v>1677</v>
      </c>
      <c r="S341" s="19"/>
      <c r="T341" s="19" t="s">
        <v>52</v>
      </c>
      <c r="U341" s="19" t="s">
        <v>89</v>
      </c>
      <c r="V341" s="19" t="s">
        <v>71</v>
      </c>
      <c r="W341" s="19" t="s">
        <v>55</v>
      </c>
      <c r="X341" s="19" t="s">
        <v>73</v>
      </c>
      <c r="Y341" s="19"/>
      <c r="Z341" s="19" t="s">
        <v>1678</v>
      </c>
      <c r="AA341" s="19">
        <v>2</v>
      </c>
      <c r="AB341" s="19"/>
      <c r="AC341" s="19" t="s">
        <v>103</v>
      </c>
      <c r="AD341" s="19"/>
      <c r="AE341" s="19"/>
      <c r="AF341" s="19"/>
    </row>
    <row r="342" spans="1:34">
      <c r="A342" s="19">
        <v>334</v>
      </c>
      <c r="B342" s="19" t="s">
        <v>965</v>
      </c>
      <c r="C342" s="19" t="s">
        <v>1674</v>
      </c>
      <c r="D342" s="19" t="str">
        <f>HYPERLINK("http://henontech.com/fieldsafety/harzard/harzard_show.php?rid=3985&amp;url=harzardrecs.php","南脱硫操作室门框铁片翘起一名操作工不小心可是会被拌倒，可能造成手腕扭伤。")</f>
        <v>南脱硫操作室门框铁片翘起一名操作工不小心可是会被拌倒，可能造成手腕扭伤。</v>
      </c>
      <c r="E342" s="19" t="s">
        <v>1679</v>
      </c>
      <c r="F342" s="26" t="s">
        <v>1027</v>
      </c>
      <c r="G342" s="19"/>
      <c r="H342" s="19" t="s">
        <v>44</v>
      </c>
      <c r="I342" s="19"/>
      <c r="J342" s="19" t="s">
        <v>45</v>
      </c>
      <c r="K342" s="19"/>
      <c r="L342" s="19"/>
      <c r="M342" s="19" t="s">
        <v>334</v>
      </c>
      <c r="N342" s="19" t="s">
        <v>917</v>
      </c>
      <c r="O342" s="19"/>
      <c r="P342" s="19"/>
      <c r="Q342" s="19"/>
      <c r="R342" s="19" t="s">
        <v>1680</v>
      </c>
      <c r="S342" s="19"/>
      <c r="T342" s="19" t="s">
        <v>52</v>
      </c>
      <c r="U342" s="19" t="s">
        <v>70</v>
      </c>
      <c r="V342" s="19" t="s">
        <v>54</v>
      </c>
      <c r="W342" s="19" t="s">
        <v>81</v>
      </c>
      <c r="X342" s="19"/>
      <c r="Y342" s="19"/>
      <c r="Z342" s="19"/>
      <c r="AA342" s="19"/>
      <c r="AB342" s="19"/>
      <c r="AC342" s="19" t="s">
        <v>103</v>
      </c>
      <c r="AD342" s="19"/>
      <c r="AE342" s="19"/>
      <c r="AF342" s="19"/>
    </row>
    <row r="343" spans="1:34">
      <c r="A343" s="19">
        <v>335</v>
      </c>
      <c r="B343" s="19" t="s">
        <v>965</v>
      </c>
      <c r="C343" s="19" t="s">
        <v>586</v>
      </c>
      <c r="D343" s="19" t="str">
        <f>HYPERLINK("http://henontech.com/fieldsafety/harzard/harzard_show.php?rid=3988&amp;url=harzardrecs.php","皮带机护栏缺失，一员工在清理机架卫生时，右手食指不慎被运行皮带机挤伤，送医院确诊骨折，住院治疗一个月，在家休养三个月，损工四个月。")</f>
        <v>皮带机护栏缺失，一员工在清理机架卫生时，右手食指不慎被运行皮带机挤伤，送医院确诊骨折，住院治疗一个月，在家休养三个月，损工四个月。</v>
      </c>
      <c r="E343" s="19" t="s">
        <v>1681</v>
      </c>
      <c r="F343" s="20" t="s">
        <v>42</v>
      </c>
      <c r="G343" s="21" t="s">
        <v>43</v>
      </c>
      <c r="H343" s="19" t="s">
        <v>44</v>
      </c>
      <c r="I343" s="19" t="s">
        <v>97</v>
      </c>
      <c r="J343" s="19" t="s">
        <v>182</v>
      </c>
      <c r="K343" s="19" t="s">
        <v>170</v>
      </c>
      <c r="L343" s="19" t="s">
        <v>252</v>
      </c>
      <c r="M343" s="19" t="s">
        <v>565</v>
      </c>
      <c r="N343" s="19" t="s">
        <v>1682</v>
      </c>
      <c r="O343" s="19" t="s">
        <v>565</v>
      </c>
      <c r="P343" s="19" t="s">
        <v>627</v>
      </c>
      <c r="Q343" s="19" t="s">
        <v>847</v>
      </c>
      <c r="R343" s="19" t="s">
        <v>1683</v>
      </c>
      <c r="S343" s="19"/>
      <c r="T343" s="19" t="s">
        <v>52</v>
      </c>
      <c r="U343" s="19" t="s">
        <v>89</v>
      </c>
      <c r="V343" s="19" t="s">
        <v>71</v>
      </c>
      <c r="W343" s="19" t="s">
        <v>55</v>
      </c>
      <c r="X343" s="19"/>
      <c r="Y343" s="19"/>
      <c r="Z343" s="19" t="s">
        <v>1684</v>
      </c>
      <c r="AA343" s="19">
        <v>1</v>
      </c>
      <c r="AB343" s="19">
        <v>1</v>
      </c>
      <c r="AC343" s="19" t="s">
        <v>58</v>
      </c>
      <c r="AD343" s="19" t="s">
        <v>627</v>
      </c>
      <c r="AE343" s="19" t="s">
        <v>847</v>
      </c>
      <c r="AF343" s="19"/>
    </row>
    <row r="344" spans="1:34">
      <c r="A344" s="19">
        <v>336</v>
      </c>
      <c r="B344" s="19" t="s">
        <v>965</v>
      </c>
      <c r="C344" s="19" t="s">
        <v>586</v>
      </c>
      <c r="D344" s="19" t="str">
        <f>HYPERLINK("http://henontech.com/fieldsafety/harzard/harzard_show.php?rid=3990&amp;url=harzardrecs.php","涝坑盖板缺失，一名员工不慎将右脚滑入坑内，造成腿部受伤，送医确诊为小腿骨折，住院治疗一个月，在家休养三个月后复工。")</f>
        <v>涝坑盖板缺失，一名员工不慎将右脚滑入坑内，造成腿部受伤，送医确诊为小腿骨折，住院治疗一个月，在家休养三个月后复工。</v>
      </c>
      <c r="E344" s="19" t="s">
        <v>1685</v>
      </c>
      <c r="F344" s="20" t="s">
        <v>42</v>
      </c>
      <c r="G344" s="21" t="s">
        <v>43</v>
      </c>
      <c r="H344" s="19" t="s">
        <v>44</v>
      </c>
      <c r="I344" s="19" t="s">
        <v>119</v>
      </c>
      <c r="J344" s="19" t="s">
        <v>182</v>
      </c>
      <c r="K344" s="19" t="s">
        <v>170</v>
      </c>
      <c r="L344" s="19" t="s">
        <v>252</v>
      </c>
      <c r="M344" s="19" t="s">
        <v>565</v>
      </c>
      <c r="N344" s="19" t="s">
        <v>1686</v>
      </c>
      <c r="O344" s="19" t="s">
        <v>565</v>
      </c>
      <c r="P344" s="19" t="s">
        <v>627</v>
      </c>
      <c r="Q344" s="19" t="s">
        <v>847</v>
      </c>
      <c r="R344" s="19" t="s">
        <v>1421</v>
      </c>
      <c r="S344" s="19"/>
      <c r="T344" s="19" t="s">
        <v>52</v>
      </c>
      <c r="U344" s="19" t="s">
        <v>89</v>
      </c>
      <c r="V344" s="19" t="s">
        <v>71</v>
      </c>
      <c r="W344" s="19" t="s">
        <v>55</v>
      </c>
      <c r="X344" s="19"/>
      <c r="Y344" s="19"/>
      <c r="Z344" s="19" t="s">
        <v>1687</v>
      </c>
      <c r="AA344" s="19">
        <v>1</v>
      </c>
      <c r="AB344" s="19">
        <v>1</v>
      </c>
      <c r="AC344" s="19" t="s">
        <v>58</v>
      </c>
      <c r="AD344" s="19" t="s">
        <v>627</v>
      </c>
      <c r="AE344" s="19" t="s">
        <v>847</v>
      </c>
      <c r="AF344" s="19"/>
    </row>
    <row r="345" spans="1:34">
      <c r="A345" s="19">
        <v>337</v>
      </c>
      <c r="B345" s="19" t="s">
        <v>965</v>
      </c>
      <c r="C345" s="19" t="s">
        <v>578</v>
      </c>
      <c r="D345" s="19" t="str">
        <f>HYPERLINK("http://henontech.com/fieldsafety/harzard/harzard_show.php?rid=3992&amp;url=harzardrecs.php","机头下料口处防护栏缺失，一员工在清投下料槽时不慎掉入下料槽中，卡在胶带与下料槽出口处，被及时发现后停机救出，紧急送医后抢救无效死亡。")</f>
        <v>机头下料口处防护栏缺失，一员工在清投下料槽时不慎掉入下料槽中，卡在胶带与下料槽出口处，被及时发现后停机救出，紧急送医后抢救无效死亡。</v>
      </c>
      <c r="E345" s="19" t="s">
        <v>735</v>
      </c>
      <c r="F345" s="20" t="s">
        <v>42</v>
      </c>
      <c r="G345" s="24" t="s">
        <v>251</v>
      </c>
      <c r="H345" s="19" t="s">
        <v>44</v>
      </c>
      <c r="I345" s="19" t="s">
        <v>97</v>
      </c>
      <c r="J345" s="19" t="s">
        <v>182</v>
      </c>
      <c r="K345" s="19" t="s">
        <v>170</v>
      </c>
      <c r="L345" s="19" t="s">
        <v>99</v>
      </c>
      <c r="M345" s="19" t="s">
        <v>565</v>
      </c>
      <c r="N345" s="19" t="s">
        <v>936</v>
      </c>
      <c r="O345" s="19" t="s">
        <v>565</v>
      </c>
      <c r="P345" s="19" t="s">
        <v>627</v>
      </c>
      <c r="Q345" s="19" t="s">
        <v>847</v>
      </c>
      <c r="R345" s="19" t="s">
        <v>581</v>
      </c>
      <c r="S345" s="19"/>
      <c r="T345" s="19" t="s">
        <v>52</v>
      </c>
      <c r="U345" s="19" t="s">
        <v>53</v>
      </c>
      <c r="V345" s="19" t="s">
        <v>71</v>
      </c>
      <c r="W345" s="19" t="s">
        <v>116</v>
      </c>
      <c r="X345" s="19"/>
      <c r="Y345" s="19"/>
      <c r="Z345" s="19" t="s">
        <v>1684</v>
      </c>
      <c r="AA345" s="19">
        <v>1</v>
      </c>
      <c r="AB345" s="19">
        <v>1</v>
      </c>
      <c r="AC345" s="19" t="s">
        <v>58</v>
      </c>
      <c r="AD345" s="19" t="s">
        <v>627</v>
      </c>
      <c r="AE345" s="19" t="s">
        <v>847</v>
      </c>
      <c r="AF345" s="19"/>
    </row>
    <row r="346" spans="1:34" customHeight="1" ht="42">
      <c r="A346" s="19">
        <v>338</v>
      </c>
      <c r="B346" s="19" t="s">
        <v>840</v>
      </c>
      <c r="C346" s="19" t="s">
        <v>1688</v>
      </c>
      <c r="D346" s="19" t="str">
        <f>HYPERLINK("http://henontech.com/fieldsafety/harzard/harzard_show.php?rid=3998&amp;url=harzardrecs.php","地沟盖板长时间暴露，受水的浸蚀，铁板腐烂，造成安全隐患。")</f>
        <v>地沟盖板长时间暴露，受水的浸蚀，铁板腐烂，造成安全隐患。</v>
      </c>
      <c r="E346" s="19" t="s">
        <v>1689</v>
      </c>
      <c r="F346" s="20" t="s">
        <v>42</v>
      </c>
      <c r="G346" s="22" t="s">
        <v>64</v>
      </c>
      <c r="H346" s="19" t="s">
        <v>44</v>
      </c>
      <c r="I346" s="19" t="s">
        <v>119</v>
      </c>
      <c r="J346" s="19" t="s">
        <v>182</v>
      </c>
      <c r="K346" s="19" t="s">
        <v>108</v>
      </c>
      <c r="L346" s="19"/>
      <c r="M346" s="19" t="s">
        <v>663</v>
      </c>
      <c r="N346" s="19" t="s">
        <v>1690</v>
      </c>
      <c r="O346" s="19" t="s">
        <v>663</v>
      </c>
      <c r="P346" s="19" t="s">
        <v>664</v>
      </c>
      <c r="Q346" s="19" t="s">
        <v>926</v>
      </c>
      <c r="R346" s="19" t="s">
        <v>1688</v>
      </c>
      <c r="S346" s="19"/>
      <c r="T346" s="19" t="s">
        <v>52</v>
      </c>
      <c r="U346" s="19" t="s">
        <v>70</v>
      </c>
      <c r="V346" s="19" t="s">
        <v>71</v>
      </c>
      <c r="W346" s="19" t="s">
        <v>72</v>
      </c>
      <c r="X346" s="19" t="s">
        <v>73</v>
      </c>
      <c r="Y346" s="19"/>
      <c r="Z346" s="19" t="s">
        <v>1691</v>
      </c>
      <c r="AA346" s="19">
        <v>2</v>
      </c>
      <c r="AB346" s="19">
        <v>2</v>
      </c>
      <c r="AC346" s="19" t="s">
        <v>58</v>
      </c>
      <c r="AD346" s="19" t="s">
        <v>664</v>
      </c>
      <c r="AE346" s="19" t="s">
        <v>863</v>
      </c>
      <c r="AF346" s="19"/>
    </row>
    <row r="347" spans="1:34">
      <c r="A347" s="19">
        <v>339</v>
      </c>
      <c r="B347" s="19" t="s">
        <v>840</v>
      </c>
      <c r="C347" s="19" t="s">
        <v>981</v>
      </c>
      <c r="D347" s="19" t="str">
        <f>HYPERLINK("http://henontech.com/fieldsafety/harzard/harzard_show.php?rid=4000&amp;url=harzardrecs.php","2#站吸附间房顶北侧彩钢瓦脱落，如果一名操作人员在巡检过程中经过此处被掉落的彩钢瓦砸中，造成背部多处砸伤，送医处理后在家休息三天后复工。")</f>
        <v>2#站吸附间房顶北侧彩钢瓦脱落，如果一名操作人员在巡检过程中经过此处被掉落的彩钢瓦砸中，造成背部多处砸伤，送医处理后在家休息三天后复工。</v>
      </c>
      <c r="E347" s="19" t="s">
        <v>1692</v>
      </c>
      <c r="F347" s="20" t="s">
        <v>42</v>
      </c>
      <c r="G347" s="22" t="s">
        <v>64</v>
      </c>
      <c r="H347" s="19" t="s">
        <v>44</v>
      </c>
      <c r="I347" s="19"/>
      <c r="J347" s="19" t="s">
        <v>527</v>
      </c>
      <c r="K347" s="19" t="s">
        <v>108</v>
      </c>
      <c r="L347" s="19"/>
      <c r="M347" s="19" t="s">
        <v>232</v>
      </c>
      <c r="N347" s="19" t="s">
        <v>1693</v>
      </c>
      <c r="O347" s="19" t="s">
        <v>232</v>
      </c>
      <c r="P347" s="19" t="s">
        <v>234</v>
      </c>
      <c r="Q347" s="19" t="s">
        <v>1326</v>
      </c>
      <c r="R347" s="19" t="s">
        <v>1540</v>
      </c>
      <c r="S347" s="19"/>
      <c r="T347" s="19" t="s">
        <v>52</v>
      </c>
      <c r="U347" s="19" t="s">
        <v>89</v>
      </c>
      <c r="V347" s="19" t="s">
        <v>71</v>
      </c>
      <c r="W347" s="19" t="s">
        <v>55</v>
      </c>
      <c r="X347" s="19" t="s">
        <v>73</v>
      </c>
      <c r="Y347" s="19" t="s">
        <v>73</v>
      </c>
      <c r="Z347" s="19" t="s">
        <v>1694</v>
      </c>
      <c r="AA347" s="19">
        <v>1</v>
      </c>
      <c r="AB347" s="19">
        <v>1</v>
      </c>
      <c r="AC347" s="19" t="s">
        <v>58</v>
      </c>
      <c r="AD347" s="19" t="s">
        <v>234</v>
      </c>
      <c r="AE347" s="19" t="s">
        <v>840</v>
      </c>
      <c r="AF347" s="19"/>
    </row>
    <row r="348" spans="1:34">
      <c r="A348" s="19">
        <v>340</v>
      </c>
      <c r="B348" s="19" t="s">
        <v>840</v>
      </c>
      <c r="C348" s="19" t="s">
        <v>981</v>
      </c>
      <c r="D348" s="19" t="str">
        <f>HYPERLINK("http://henontech.com/fieldsafety/harzard/harzard_show.php?rid=4016&amp;url=harzardrecs.php","2#站主副塔过桥护栏间隙过大，如果一名操作人员在雨雪天气巡检过程中经过此处不慎滑倒坠落，造成左小腿骨折，住院10天后在家休息三个月后复工。")</f>
        <v>2#站主副塔过桥护栏间隙过大，如果一名操作人员在雨雪天气巡检过程中经过此处不慎滑倒坠落，造成左小腿骨折，住院10天后在家休息三个月后复工。</v>
      </c>
      <c r="E348" s="19" t="s">
        <v>1695</v>
      </c>
      <c r="F348" s="20" t="s">
        <v>42</v>
      </c>
      <c r="G348" s="22" t="s">
        <v>64</v>
      </c>
      <c r="H348" s="19" t="s">
        <v>44</v>
      </c>
      <c r="I348" s="19"/>
      <c r="J348" s="19" t="s">
        <v>182</v>
      </c>
      <c r="K348" s="19" t="s">
        <v>216</v>
      </c>
      <c r="L348" s="19"/>
      <c r="M348" s="19" t="s">
        <v>232</v>
      </c>
      <c r="N348" s="19" t="s">
        <v>1696</v>
      </c>
      <c r="O348" s="19" t="s">
        <v>232</v>
      </c>
      <c r="P348" s="19" t="s">
        <v>234</v>
      </c>
      <c r="Q348" s="19" t="s">
        <v>1697</v>
      </c>
      <c r="R348" s="19" t="s">
        <v>1698</v>
      </c>
      <c r="S348" s="19"/>
      <c r="T348" s="19" t="s">
        <v>52</v>
      </c>
      <c r="U348" s="19" t="s">
        <v>89</v>
      </c>
      <c r="V348" s="19" t="s">
        <v>54</v>
      </c>
      <c r="W348" s="19" t="s">
        <v>72</v>
      </c>
      <c r="X348" s="19" t="s">
        <v>73</v>
      </c>
      <c r="Y348" s="19" t="s">
        <v>73</v>
      </c>
      <c r="Z348" s="19" t="s">
        <v>1699</v>
      </c>
      <c r="AA348" s="19">
        <v>1</v>
      </c>
      <c r="AB348" s="19">
        <v>1</v>
      </c>
      <c r="AC348" s="19" t="s">
        <v>58</v>
      </c>
      <c r="AD348" s="19" t="s">
        <v>234</v>
      </c>
      <c r="AE348" s="19" t="s">
        <v>1700</v>
      </c>
      <c r="AF348" s="19"/>
    </row>
    <row r="349" spans="1:34">
      <c r="A349" s="19">
        <v>341</v>
      </c>
      <c r="B349" s="19" t="s">
        <v>840</v>
      </c>
      <c r="C349" s="19" t="s">
        <v>946</v>
      </c>
      <c r="D349" s="19" t="str">
        <f>HYPERLINK("http://henontech.com/fieldsafety/harzard/harzard_show.php?rid=4021&amp;url=harzardrecs.php","西硫铵饱和器处有一蒸汽主管道阀门。由于阀头垫子坏，泄漏大量蒸汽，导致喷溅蒸汽热水。烫伤巡检人员腿部，送医院治疗。休养7天后复工。")</f>
        <v>西硫铵饱和器处有一蒸汽主管道阀门。由于阀头垫子坏，泄漏大量蒸汽，导致喷溅蒸汽热水。烫伤巡检人员腿部，送医院治疗。休养7天后复工。</v>
      </c>
      <c r="E349" s="19" t="s">
        <v>1701</v>
      </c>
      <c r="F349" s="20" t="s">
        <v>42</v>
      </c>
      <c r="G349" s="22" t="s">
        <v>64</v>
      </c>
      <c r="H349" s="19" t="s">
        <v>44</v>
      </c>
      <c r="I349" s="19" t="s">
        <v>119</v>
      </c>
      <c r="J349" s="19" t="s">
        <v>45</v>
      </c>
      <c r="K349" s="19" t="s">
        <v>108</v>
      </c>
      <c r="L349" s="19" t="s">
        <v>99</v>
      </c>
      <c r="M349" s="19" t="s">
        <v>334</v>
      </c>
      <c r="N349" s="19" t="s">
        <v>1702</v>
      </c>
      <c r="O349" s="19" t="s">
        <v>334</v>
      </c>
      <c r="P349" s="19" t="s">
        <v>346</v>
      </c>
      <c r="Q349" s="19" t="s">
        <v>1554</v>
      </c>
      <c r="R349" s="19" t="s">
        <v>1703</v>
      </c>
      <c r="S349" s="19"/>
      <c r="T349" s="19" t="s">
        <v>52</v>
      </c>
      <c r="U349" s="19" t="s">
        <v>89</v>
      </c>
      <c r="V349" s="19" t="s">
        <v>71</v>
      </c>
      <c r="W349" s="19" t="s">
        <v>55</v>
      </c>
      <c r="X349" s="19"/>
      <c r="Y349" s="19"/>
      <c r="Z349" s="19" t="s">
        <v>1704</v>
      </c>
      <c r="AA349" s="19">
        <v>1</v>
      </c>
      <c r="AB349" s="19">
        <v>1</v>
      </c>
      <c r="AC349" s="19" t="s">
        <v>58</v>
      </c>
      <c r="AD349" s="19" t="s">
        <v>346</v>
      </c>
      <c r="AE349" s="19" t="s">
        <v>724</v>
      </c>
      <c r="AF349" s="19"/>
    </row>
    <row r="350" spans="1:34">
      <c r="A350" s="19">
        <v>342</v>
      </c>
      <c r="B350" s="19" t="s">
        <v>840</v>
      </c>
      <c r="C350" s="19" t="s">
        <v>789</v>
      </c>
      <c r="D350" s="19" t="str">
        <f>HYPERLINK("http://henontech.com/fieldsafety/harzard/harzard_show.php?rid=4026&amp;url=harzardrecs.php","深度处理工段盐酸加药间添加盐酸时会有酸雾挥发，长期的侵蚀造成部分阀门无法正常启停，部分管架锈断，四周彩钢板墙体生锈严重，造成经济损失2万余元")</f>
        <v>深度处理工段盐酸加药间添加盐酸时会有酸雾挥发，长期的侵蚀造成部分阀门无法正常启停，部分管架锈断，四周彩钢板墙体生锈严重，造成经济损失2万余元</v>
      </c>
      <c r="E350" s="19" t="s">
        <v>1705</v>
      </c>
      <c r="F350" s="20" t="s">
        <v>42</v>
      </c>
      <c r="G350" s="22" t="s">
        <v>64</v>
      </c>
      <c r="H350" s="19" t="s">
        <v>44</v>
      </c>
      <c r="I350" s="19"/>
      <c r="J350" s="19"/>
      <c r="K350" s="19" t="s">
        <v>170</v>
      </c>
      <c r="L350" s="19"/>
      <c r="M350" s="19" t="s">
        <v>232</v>
      </c>
      <c r="N350" s="19" t="s">
        <v>533</v>
      </c>
      <c r="O350" s="19" t="s">
        <v>232</v>
      </c>
      <c r="P350" s="19" t="s">
        <v>269</v>
      </c>
      <c r="Q350" s="19" t="s">
        <v>932</v>
      </c>
      <c r="R350" s="19" t="s">
        <v>232</v>
      </c>
      <c r="S350" s="19"/>
      <c r="T350" s="19" t="s">
        <v>78</v>
      </c>
      <c r="U350" s="19" t="s">
        <v>79</v>
      </c>
      <c r="V350" s="19" t="s">
        <v>71</v>
      </c>
      <c r="W350" s="19" t="s">
        <v>81</v>
      </c>
      <c r="X350" s="19" t="s">
        <v>73</v>
      </c>
      <c r="Y350" s="19" t="s">
        <v>73</v>
      </c>
      <c r="Z350" s="19" t="s">
        <v>1706</v>
      </c>
      <c r="AA350" s="19">
        <v>1</v>
      </c>
      <c r="AB350" s="19">
        <v>1</v>
      </c>
      <c r="AC350" s="19" t="s">
        <v>58</v>
      </c>
      <c r="AD350" s="19" t="s">
        <v>269</v>
      </c>
      <c r="AE350" s="19" t="s">
        <v>1707</v>
      </c>
      <c r="AF350" s="19"/>
    </row>
    <row r="351" spans="1:34">
      <c r="A351" s="19">
        <v>343</v>
      </c>
      <c r="B351" s="19" t="s">
        <v>840</v>
      </c>
      <c r="C351" s="19" t="s">
        <v>869</v>
      </c>
      <c r="D351" s="19" t="str">
        <f>HYPERLINK("http://henontech.com/fieldsafety/harzard/harzard_show.php?rid=4027&amp;url=harzardrecs.php","一名操作工在翻越现场管道开关阀门时，不慎绊倒摔伤，造成腿部轻微擦伤，简单处理后继续工作。")</f>
        <v>一名操作工在翻越现场管道开关阀门时，不慎绊倒摔伤，造成腿部轻微擦伤，简单处理后继续工作。</v>
      </c>
      <c r="E351" s="19" t="s">
        <v>1708</v>
      </c>
      <c r="F351" s="20" t="s">
        <v>42</v>
      </c>
      <c r="G351" s="22" t="s">
        <v>64</v>
      </c>
      <c r="H351" s="19" t="s">
        <v>44</v>
      </c>
      <c r="I351" s="19" t="s">
        <v>119</v>
      </c>
      <c r="J351" s="19" t="s">
        <v>527</v>
      </c>
      <c r="K351" s="19" t="s">
        <v>98</v>
      </c>
      <c r="L351" s="19"/>
      <c r="M351" s="19" t="s">
        <v>334</v>
      </c>
      <c r="N351" s="19" t="s">
        <v>1709</v>
      </c>
      <c r="O351" s="19" t="s">
        <v>334</v>
      </c>
      <c r="P351" s="19" t="s">
        <v>346</v>
      </c>
      <c r="Q351" s="19" t="s">
        <v>1554</v>
      </c>
      <c r="R351" s="19" t="s">
        <v>1710</v>
      </c>
      <c r="S351" s="19"/>
      <c r="T351" s="19" t="s">
        <v>52</v>
      </c>
      <c r="U351" s="19" t="s">
        <v>70</v>
      </c>
      <c r="V351" s="19" t="s">
        <v>71</v>
      </c>
      <c r="W351" s="19" t="s">
        <v>72</v>
      </c>
      <c r="X351" s="19"/>
      <c r="Y351" s="19"/>
      <c r="Z351" s="19" t="s">
        <v>1711</v>
      </c>
      <c r="AA351" s="19">
        <v>1</v>
      </c>
      <c r="AB351" s="19">
        <v>1</v>
      </c>
      <c r="AC351" s="19" t="s">
        <v>58</v>
      </c>
      <c r="AD351" s="19" t="s">
        <v>346</v>
      </c>
      <c r="AE351" s="19" t="s">
        <v>926</v>
      </c>
      <c r="AF351" s="19"/>
    </row>
    <row r="352" spans="1:34">
      <c r="A352" s="19">
        <v>344</v>
      </c>
      <c r="B352" s="19" t="s">
        <v>840</v>
      </c>
      <c r="C352" s="19" t="s">
        <v>1302</v>
      </c>
      <c r="D352" s="19" t="str">
        <f>HYPERLINK("http://henontech.com/fieldsafety/harzard/harzard_show.php?rid=4028&amp;url=harzardrecs.php","MVR管道泵电机风扇口堵塞，电机失去散热效果，烧毁管道泵，机封水不上量，影响其他电机正常使用。")</f>
        <v>MVR管道泵电机风扇口堵塞，电机失去散热效果，烧毁管道泵，机封水不上量，影响其他电机正常使用。</v>
      </c>
      <c r="E352" s="19" t="s">
        <v>1712</v>
      </c>
      <c r="F352" s="20" t="s">
        <v>42</v>
      </c>
      <c r="G352" s="22" t="s">
        <v>64</v>
      </c>
      <c r="H352" s="19" t="s">
        <v>44</v>
      </c>
      <c r="I352" s="19" t="s">
        <v>119</v>
      </c>
      <c r="J352" s="19" t="s">
        <v>527</v>
      </c>
      <c r="K352" s="19"/>
      <c r="L352" s="19"/>
      <c r="M352" s="19" t="s">
        <v>334</v>
      </c>
      <c r="N352" s="19" t="s">
        <v>1713</v>
      </c>
      <c r="O352" s="19" t="s">
        <v>334</v>
      </c>
      <c r="P352" s="19" t="s">
        <v>346</v>
      </c>
      <c r="Q352" s="19" t="s">
        <v>1554</v>
      </c>
      <c r="R352" s="19" t="s">
        <v>1714</v>
      </c>
      <c r="S352" s="19"/>
      <c r="T352" s="19" t="s">
        <v>78</v>
      </c>
      <c r="U352" s="19" t="s">
        <v>89</v>
      </c>
      <c r="V352" s="19" t="s">
        <v>71</v>
      </c>
      <c r="W352" s="19" t="s">
        <v>55</v>
      </c>
      <c r="X352" s="19"/>
      <c r="Y352" s="19"/>
      <c r="Z352" s="19" t="s">
        <v>1715</v>
      </c>
      <c r="AA352" s="19">
        <v>1</v>
      </c>
      <c r="AB352" s="19">
        <v>1</v>
      </c>
      <c r="AC352" s="19" t="s">
        <v>58</v>
      </c>
      <c r="AD352" s="19" t="s">
        <v>346</v>
      </c>
      <c r="AE352" s="19" t="s">
        <v>724</v>
      </c>
      <c r="AF352" s="19"/>
    </row>
    <row r="353" spans="1:34">
      <c r="A353" s="19">
        <v>345</v>
      </c>
      <c r="B353" s="19" t="s">
        <v>847</v>
      </c>
      <c r="C353" s="19" t="s">
        <v>578</v>
      </c>
      <c r="D353" s="19" t="str">
        <f>HYPERLINK("http://henontech.com/fieldsafety/harzard/harzard_show.php?rid=4029&amp;url=harzardrecs.php","一职工攀登爬梯清理刮板卫生，爬梯底部打滑倾倒，该职工不慎从两米高处跌落，左臂受伤，送医确诊，左小臂骨折，住院治疗20天，回家修养90天后复工。工")</f>
        <v>一职工攀登爬梯清理刮板卫生，爬梯底部打滑倾倒，该职工不慎从两米高处跌落，左臂受伤，送医确诊，左小臂骨折，住院治疗20天，回家修养90天后复工。工</v>
      </c>
      <c r="E353" s="19" t="s">
        <v>1716</v>
      </c>
      <c r="F353" s="20" t="s">
        <v>42</v>
      </c>
      <c r="G353" s="21" t="s">
        <v>43</v>
      </c>
      <c r="H353" s="19" t="s">
        <v>44</v>
      </c>
      <c r="I353" s="19" t="s">
        <v>119</v>
      </c>
      <c r="J353" s="19" t="s">
        <v>527</v>
      </c>
      <c r="K353" s="19" t="s">
        <v>98</v>
      </c>
      <c r="L353" s="19" t="s">
        <v>99</v>
      </c>
      <c r="M353" s="19" t="s">
        <v>565</v>
      </c>
      <c r="N353" s="19" t="s">
        <v>973</v>
      </c>
      <c r="O353" s="19" t="s">
        <v>565</v>
      </c>
      <c r="P353" s="19" t="s">
        <v>627</v>
      </c>
      <c r="Q353" s="19" t="s">
        <v>1707</v>
      </c>
      <c r="R353" s="19" t="s">
        <v>1062</v>
      </c>
      <c r="S353" s="19"/>
      <c r="T353" s="19" t="s">
        <v>52</v>
      </c>
      <c r="U353" s="19" t="s">
        <v>89</v>
      </c>
      <c r="V353" s="19" t="s">
        <v>71</v>
      </c>
      <c r="W353" s="19" t="s">
        <v>55</v>
      </c>
      <c r="X353" s="19"/>
      <c r="Y353" s="19"/>
      <c r="Z353" s="19" t="s">
        <v>1717</v>
      </c>
      <c r="AA353" s="19">
        <v>1</v>
      </c>
      <c r="AB353" s="19">
        <v>1</v>
      </c>
      <c r="AC353" s="19" t="s">
        <v>58</v>
      </c>
      <c r="AD353" s="19" t="s">
        <v>627</v>
      </c>
      <c r="AE353" s="19" t="s">
        <v>1707</v>
      </c>
      <c r="AF353" s="19"/>
    </row>
    <row r="354" spans="1:34">
      <c r="A354" s="19">
        <v>346</v>
      </c>
      <c r="B354" s="19" t="s">
        <v>847</v>
      </c>
      <c r="C354" s="19" t="s">
        <v>1718</v>
      </c>
      <c r="D354" s="19" t="str">
        <f>HYPERLINK("http://henontech.com/fieldsafety/harzard/harzard_show.php?rid=4031&amp;url=harzardrecs.php","MVR2楼原料罐阀门漏夜，假如一名操作工夜间巡检时，由于灯光视线不足被流出原料液灼烫，造成胳膊和小腿多处灼伤，经及时处理后回家休息半天。轻微烫伤")</f>
        <v>MVR2楼原料罐阀门漏夜，假如一名操作工夜间巡检时，由于灯光视线不足被流出原料液灼烫，造成胳膊和小腿多处灼伤，经及时处理后回家休息半天。轻微烫伤</v>
      </c>
      <c r="E354" s="19" t="s">
        <v>1719</v>
      </c>
      <c r="F354" s="20" t="s">
        <v>42</v>
      </c>
      <c r="G354" s="22" t="s">
        <v>64</v>
      </c>
      <c r="H354" s="19" t="s">
        <v>44</v>
      </c>
      <c r="I354" s="19" t="s">
        <v>119</v>
      </c>
      <c r="J354" s="19" t="s">
        <v>182</v>
      </c>
      <c r="K354" s="19"/>
      <c r="L354" s="19"/>
      <c r="M354" s="19" t="s">
        <v>334</v>
      </c>
      <c r="N354" s="19" t="s">
        <v>1720</v>
      </c>
      <c r="O354" s="19" t="s">
        <v>334</v>
      </c>
      <c r="P354" s="19" t="s">
        <v>346</v>
      </c>
      <c r="Q354" s="19" t="s">
        <v>988</v>
      </c>
      <c r="R354" s="19" t="s">
        <v>1721</v>
      </c>
      <c r="S354" s="19"/>
      <c r="T354" s="19" t="s">
        <v>52</v>
      </c>
      <c r="U354" s="19" t="s">
        <v>89</v>
      </c>
      <c r="V354" s="19" t="s">
        <v>54</v>
      </c>
      <c r="W354" s="19" t="s">
        <v>72</v>
      </c>
      <c r="X354" s="19"/>
      <c r="Y354" s="19"/>
      <c r="Z354" s="19" t="s">
        <v>1722</v>
      </c>
      <c r="AA354" s="19">
        <v>1</v>
      </c>
      <c r="AB354" s="19">
        <v>1</v>
      </c>
      <c r="AC354" s="19" t="s">
        <v>58</v>
      </c>
      <c r="AD354" s="19" t="s">
        <v>346</v>
      </c>
      <c r="AE354" s="19" t="s">
        <v>888</v>
      </c>
      <c r="AF354" s="19"/>
    </row>
    <row r="355" spans="1:34" customHeight="1" ht="42">
      <c r="A355" s="19">
        <v>347</v>
      </c>
      <c r="B355" s="19" t="s">
        <v>847</v>
      </c>
      <c r="C355" s="19" t="s">
        <v>1723</v>
      </c>
      <c r="D355" s="19" t="str">
        <f>HYPERLINK("http://henontech.com/fieldsafety/harzard/harzard_show.php?rid=4032&amp;url=harzardrecs.php","东冷凝低位槽液下泵电机未加防雨罩，一旦雷雨天气，雨水进入电机，造成电机漏电，巡检人员巡检不小心触摸到电机，造成触电身亡。")</f>
        <v>东冷凝低位槽液下泵电机未加防雨罩，一旦雷雨天气，雨水进入电机，造成电机漏电，巡检人员巡检不小心触摸到电机，造成触电身亡。</v>
      </c>
      <c r="E355" s="19" t="s">
        <v>1724</v>
      </c>
      <c r="F355" s="20" t="s">
        <v>42</v>
      </c>
      <c r="G355" s="22" t="s">
        <v>64</v>
      </c>
      <c r="H355" s="19" t="s">
        <v>44</v>
      </c>
      <c r="I355" s="19" t="s">
        <v>119</v>
      </c>
      <c r="J355" s="19" t="s">
        <v>182</v>
      </c>
      <c r="K355" s="19" t="s">
        <v>108</v>
      </c>
      <c r="L355" s="19" t="s">
        <v>99</v>
      </c>
      <c r="M355" s="19" t="s">
        <v>334</v>
      </c>
      <c r="N355" s="19" t="s">
        <v>1725</v>
      </c>
      <c r="O355" s="19" t="s">
        <v>334</v>
      </c>
      <c r="P355" s="19" t="s">
        <v>346</v>
      </c>
      <c r="Q355" s="19" t="s">
        <v>1554</v>
      </c>
      <c r="R355" s="19" t="s">
        <v>1658</v>
      </c>
      <c r="S355" s="19"/>
      <c r="T355" s="19" t="s">
        <v>52</v>
      </c>
      <c r="U355" s="19" t="s">
        <v>53</v>
      </c>
      <c r="V355" s="19" t="s">
        <v>71</v>
      </c>
      <c r="W355" s="19" t="s">
        <v>116</v>
      </c>
      <c r="X355" s="19"/>
      <c r="Y355" s="19"/>
      <c r="Z355" s="19" t="s">
        <v>1726</v>
      </c>
      <c r="AA355" s="19">
        <v>2</v>
      </c>
      <c r="AB355" s="19">
        <v>2</v>
      </c>
      <c r="AC355" s="19" t="s">
        <v>58</v>
      </c>
      <c r="AD355" s="19" t="s">
        <v>346</v>
      </c>
      <c r="AE355" s="19" t="s">
        <v>724</v>
      </c>
      <c r="AF355" s="19"/>
    </row>
    <row r="356" spans="1:34" customHeight="1" ht="42">
      <c r="A356" s="19">
        <v>348</v>
      </c>
      <c r="B356" s="19" t="s">
        <v>847</v>
      </c>
      <c r="C356" s="19" t="s">
        <v>578</v>
      </c>
      <c r="D356" s="19" t="str">
        <f>HYPERLINK("http://henontech.com/fieldsafety/harzard/harzard_show.php?rid=4035&amp;url=harzardrecs.php","西四岗位电缆杂乱摆放，夜间一操作工在巡检时，不慎绊倒，造成右腿轻微擦伤")</f>
        <v>西四岗位电缆杂乱摆放，夜间一操作工在巡检时，不慎绊倒，造成右腿轻微擦伤</v>
      </c>
      <c r="E356" s="19" t="s">
        <v>1727</v>
      </c>
      <c r="F356" s="20" t="s">
        <v>42</v>
      </c>
      <c r="G356" s="22" t="s">
        <v>64</v>
      </c>
      <c r="H356" s="19" t="s">
        <v>44</v>
      </c>
      <c r="I356" s="19" t="s">
        <v>97</v>
      </c>
      <c r="J356" s="19" t="s">
        <v>527</v>
      </c>
      <c r="K356" s="19" t="s">
        <v>98</v>
      </c>
      <c r="L356" s="19" t="s">
        <v>99</v>
      </c>
      <c r="M356" s="19" t="s">
        <v>565</v>
      </c>
      <c r="N356" s="19" t="s">
        <v>653</v>
      </c>
      <c r="O356" s="19" t="s">
        <v>565</v>
      </c>
      <c r="P356" s="19" t="s">
        <v>633</v>
      </c>
      <c r="Q356" s="19" t="s">
        <v>860</v>
      </c>
      <c r="R356" s="19" t="s">
        <v>1062</v>
      </c>
      <c r="S356" s="19"/>
      <c r="T356" s="19" t="s">
        <v>52</v>
      </c>
      <c r="U356" s="19" t="s">
        <v>70</v>
      </c>
      <c r="V356" s="19" t="s">
        <v>54</v>
      </c>
      <c r="W356" s="19" t="s">
        <v>81</v>
      </c>
      <c r="X356" s="19" t="s">
        <v>323</v>
      </c>
      <c r="Y356" s="19" t="s">
        <v>323</v>
      </c>
      <c r="Z356" s="19" t="s">
        <v>1728</v>
      </c>
      <c r="AA356" s="19">
        <v>2</v>
      </c>
      <c r="AB356" s="19">
        <v>2</v>
      </c>
      <c r="AC356" s="19" t="s">
        <v>58</v>
      </c>
      <c r="AD356" s="19" t="s">
        <v>633</v>
      </c>
      <c r="AE356" s="19" t="s">
        <v>732</v>
      </c>
      <c r="AF356" s="19"/>
    </row>
    <row r="357" spans="1:34" customHeight="1" ht="42">
      <c r="A357" s="19">
        <v>349</v>
      </c>
      <c r="B357" s="19" t="s">
        <v>847</v>
      </c>
      <c r="C357" s="19" t="s">
        <v>586</v>
      </c>
      <c r="D357" s="19" t="str">
        <f>HYPERLINK("http://henontech.com/fieldsafety/harzard/harzard_show.php?rid=4036&amp;url=harzardrecs.php","煤十料仓篦子腐烂严重，操作工在清理篦子时，一只脚掉入篦子内，造成脚部骨折")</f>
        <v>煤十料仓篦子腐烂严重，操作工在清理篦子时，一只脚掉入篦子内，造成脚部骨折</v>
      </c>
      <c r="E357" s="19" t="s">
        <v>1729</v>
      </c>
      <c r="F357" s="20" t="s">
        <v>42</v>
      </c>
      <c r="G357" s="21" t="s">
        <v>43</v>
      </c>
      <c r="H357" s="19" t="s">
        <v>44</v>
      </c>
      <c r="I357" s="19" t="s">
        <v>97</v>
      </c>
      <c r="J357" s="19" t="s">
        <v>182</v>
      </c>
      <c r="K357" s="19" t="s">
        <v>170</v>
      </c>
      <c r="L357" s="19" t="s">
        <v>99</v>
      </c>
      <c r="M357" s="19" t="s">
        <v>565</v>
      </c>
      <c r="N357" s="19" t="s">
        <v>658</v>
      </c>
      <c r="O357" s="19" t="s">
        <v>565</v>
      </c>
      <c r="P357" s="19" t="s">
        <v>633</v>
      </c>
      <c r="Q357" s="19" t="s">
        <v>860</v>
      </c>
      <c r="R357" s="19" t="s">
        <v>659</v>
      </c>
      <c r="S357" s="19"/>
      <c r="T357" s="19" t="s">
        <v>52</v>
      </c>
      <c r="U357" s="19" t="s">
        <v>89</v>
      </c>
      <c r="V357" s="19" t="s">
        <v>71</v>
      </c>
      <c r="W357" s="19" t="s">
        <v>55</v>
      </c>
      <c r="X357" s="19" t="s">
        <v>323</v>
      </c>
      <c r="Y357" s="19" t="s">
        <v>323</v>
      </c>
      <c r="Z357" s="19" t="s">
        <v>1730</v>
      </c>
      <c r="AA357" s="19">
        <v>2</v>
      </c>
      <c r="AB357" s="19">
        <v>2</v>
      </c>
      <c r="AC357" s="19" t="s">
        <v>58</v>
      </c>
      <c r="AD357" s="19" t="s">
        <v>633</v>
      </c>
      <c r="AE357" s="19" t="s">
        <v>1731</v>
      </c>
      <c r="AF357" s="19"/>
    </row>
    <row r="358" spans="1:34" customHeight="1" ht="42">
      <c r="A358" s="19">
        <v>350</v>
      </c>
      <c r="B358" s="19" t="s">
        <v>847</v>
      </c>
      <c r="C358" s="19" t="s">
        <v>578</v>
      </c>
      <c r="D358" s="19" t="str">
        <f>HYPERLINK("http://henontech.com/fieldsafety/harzard/harzard_show.php?rid=4038&amp;url=harzardrecs.php","涨紧护栏缺失，设备运转过程中一操作工在清理涨紧滚筒积煤时，左脚卷入被皮带与滚筒挤伤，送医院救治鉴定为左脚骨折，住院治疗20天在家休养100天后康复，造成一损工事故。")</f>
        <v>涨紧护栏缺失，设备运转过程中一操作工在清理涨紧滚筒积煤时，左脚卷入被皮带与滚筒挤伤，送医院救治鉴定为左脚骨折，住院治疗20天在家休养100天后康复，造成一损工事故。</v>
      </c>
      <c r="E358" s="19" t="s">
        <v>1732</v>
      </c>
      <c r="F358" s="20" t="s">
        <v>42</v>
      </c>
      <c r="G358" s="22" t="s">
        <v>64</v>
      </c>
      <c r="H358" s="19" t="s">
        <v>44</v>
      </c>
      <c r="I358" s="19" t="s">
        <v>97</v>
      </c>
      <c r="J358" s="19" t="s">
        <v>45</v>
      </c>
      <c r="K358" s="19" t="s">
        <v>170</v>
      </c>
      <c r="L358" s="19" t="s">
        <v>99</v>
      </c>
      <c r="M358" s="19" t="s">
        <v>565</v>
      </c>
      <c r="N358" s="19" t="s">
        <v>1733</v>
      </c>
      <c r="O358" s="19" t="s">
        <v>565</v>
      </c>
      <c r="P358" s="19" t="s">
        <v>633</v>
      </c>
      <c r="Q358" s="19" t="s">
        <v>860</v>
      </c>
      <c r="R358" s="19" t="s">
        <v>1734</v>
      </c>
      <c r="S358" s="19"/>
      <c r="T358" s="19" t="s">
        <v>52</v>
      </c>
      <c r="U358" s="19" t="s">
        <v>89</v>
      </c>
      <c r="V358" s="19" t="s">
        <v>71</v>
      </c>
      <c r="W358" s="19" t="s">
        <v>55</v>
      </c>
      <c r="X358" s="19" t="s">
        <v>323</v>
      </c>
      <c r="Y358" s="19" t="s">
        <v>323</v>
      </c>
      <c r="Z358" s="19" t="s">
        <v>1735</v>
      </c>
      <c r="AA358" s="19">
        <v>2</v>
      </c>
      <c r="AB358" s="19">
        <v>2</v>
      </c>
      <c r="AC358" s="19" t="s">
        <v>58</v>
      </c>
      <c r="AD358" s="19" t="s">
        <v>633</v>
      </c>
      <c r="AE358" s="19" t="s">
        <v>732</v>
      </c>
      <c r="AF358" s="19"/>
    </row>
    <row r="359" spans="1:34">
      <c r="A359" s="19">
        <v>351</v>
      </c>
      <c r="B359" s="19" t="s">
        <v>847</v>
      </c>
      <c r="C359" s="19" t="s">
        <v>334</v>
      </c>
      <c r="D359" s="19" t="str">
        <f>HYPERLINK("http://henontech.com/fieldsafety/harzard/harzard_show.php?rid=4039&amp;url=harzardrecs.php","脱硫塔蒸汽管道悬挂一根废旧铁条，假如操作工在大风天气巡检经过此处时，不慎被掉落的铁条砸伤右臂，送往医务室诊治轻微伤，简单包扎后复工")</f>
        <v>脱硫塔蒸汽管道悬挂一根废旧铁条，假如操作工在大风天气巡检经过此处时，不慎被掉落的铁条砸伤右臂，送往医务室诊治轻微伤，简单包扎后复工</v>
      </c>
      <c r="E359" s="19" t="s">
        <v>1736</v>
      </c>
      <c r="F359" s="20" t="s">
        <v>42</v>
      </c>
      <c r="G359" s="22" t="s">
        <v>64</v>
      </c>
      <c r="H359" s="19" t="s">
        <v>44</v>
      </c>
      <c r="I359" s="19" t="s">
        <v>119</v>
      </c>
      <c r="J359" s="19" t="s">
        <v>45</v>
      </c>
      <c r="K359" s="19" t="s">
        <v>108</v>
      </c>
      <c r="L359" s="19" t="s">
        <v>99</v>
      </c>
      <c r="M359" s="19" t="s">
        <v>334</v>
      </c>
      <c r="N359" s="19" t="s">
        <v>905</v>
      </c>
      <c r="O359" s="19" t="s">
        <v>334</v>
      </c>
      <c r="P359" s="19" t="s">
        <v>346</v>
      </c>
      <c r="Q359" s="19" t="s">
        <v>1554</v>
      </c>
      <c r="R359" s="19" t="s">
        <v>356</v>
      </c>
      <c r="S359" s="19"/>
      <c r="T359" s="19" t="s">
        <v>52</v>
      </c>
      <c r="U359" s="19" t="s">
        <v>70</v>
      </c>
      <c r="V359" s="19" t="s">
        <v>71</v>
      </c>
      <c r="W359" s="19" t="s">
        <v>72</v>
      </c>
      <c r="X359" s="19"/>
      <c r="Y359" s="19"/>
      <c r="Z359" s="19" t="s">
        <v>1737</v>
      </c>
      <c r="AA359" s="19">
        <v>1</v>
      </c>
      <c r="AB359" s="19">
        <v>1</v>
      </c>
      <c r="AC359" s="19" t="s">
        <v>58</v>
      </c>
      <c r="AD359" s="19" t="s">
        <v>346</v>
      </c>
      <c r="AE359" s="19" t="s">
        <v>819</v>
      </c>
      <c r="AF359" s="19"/>
    </row>
    <row r="360" spans="1:34">
      <c r="A360" s="19">
        <v>352</v>
      </c>
      <c r="B360" s="19" t="s">
        <v>1275</v>
      </c>
      <c r="C360" s="19" t="s">
        <v>1600</v>
      </c>
      <c r="D360" s="19" t="str">
        <f>HYPERLINK("http://henontech.com/fieldsafety/harzard/harzard_show.php?rid=4044&amp;url=harzardrecs.php","除盐水站一楼加药间地面盖板破损，一员工巡检至此时，脚部不慎插入破损处摔倒，致使脚腕扭伤，送医务室处理后，回到岗位，可从事简单操作工作，未造成损工。")</f>
        <v>除盐水站一楼加药间地面盖板破损，一员工巡检至此时，脚部不慎插入破损处摔倒，致使脚腕扭伤，送医务室处理后，回到岗位，可从事简单操作工作，未造成损工。</v>
      </c>
      <c r="E360" s="19" t="s">
        <v>1738</v>
      </c>
      <c r="F360" s="25" t="s">
        <v>828</v>
      </c>
      <c r="G360" s="22" t="s">
        <v>64</v>
      </c>
      <c r="H360" s="19" t="s">
        <v>44</v>
      </c>
      <c r="I360" s="19" t="s">
        <v>119</v>
      </c>
      <c r="J360" s="19" t="s">
        <v>182</v>
      </c>
      <c r="K360" s="19" t="s">
        <v>170</v>
      </c>
      <c r="L360" s="19"/>
      <c r="M360" s="19" t="s">
        <v>46</v>
      </c>
      <c r="N360" s="19" t="s">
        <v>1739</v>
      </c>
      <c r="O360" s="19" t="s">
        <v>46</v>
      </c>
      <c r="P360" s="19" t="s">
        <v>154</v>
      </c>
      <c r="Q360" s="19" t="s">
        <v>1554</v>
      </c>
      <c r="R360" s="19" t="s">
        <v>1740</v>
      </c>
      <c r="S360" s="19" t="s">
        <v>1741</v>
      </c>
      <c r="T360" s="19" t="s">
        <v>52</v>
      </c>
      <c r="U360" s="19" t="s">
        <v>70</v>
      </c>
      <c r="V360" s="19" t="s">
        <v>71</v>
      </c>
      <c r="W360" s="19" t="s">
        <v>72</v>
      </c>
      <c r="X360" s="19" t="s">
        <v>73</v>
      </c>
      <c r="Y360" s="19"/>
      <c r="Z360" s="19" t="s">
        <v>1742</v>
      </c>
      <c r="AA360" s="19">
        <v>1</v>
      </c>
      <c r="AB360" s="19"/>
      <c r="AC360" s="19" t="s">
        <v>103</v>
      </c>
      <c r="AD360" s="19"/>
      <c r="AE360" s="19"/>
      <c r="AF360" s="19"/>
    </row>
    <row r="361" spans="1:34">
      <c r="A361" s="19">
        <v>353</v>
      </c>
      <c r="B361" s="19" t="s">
        <v>1275</v>
      </c>
      <c r="C361" s="19" t="s">
        <v>1743</v>
      </c>
      <c r="D361" s="19" t="str">
        <f>HYPERLINK("http://henontech.com/fieldsafety/harzard/harzard_show.php?rid=4046&amp;url=harzardrecs.php","北循环水来两千方水池井盖未盖严，如果夜间一名操作工巡检经过此处时不小心踩空铁板可能会坠落水池内被淹溺，造成一人死亡事故")</f>
        <v>北循环水来两千方水池井盖未盖严，如果夜间一名操作工巡检经过此处时不小心踩空铁板可能会坠落水池内被淹溺，造成一人死亡事故</v>
      </c>
      <c r="E361" s="19" t="s">
        <v>1744</v>
      </c>
      <c r="F361" s="20" t="s">
        <v>42</v>
      </c>
      <c r="G361" s="21" t="s">
        <v>43</v>
      </c>
      <c r="H361" s="19" t="s">
        <v>44</v>
      </c>
      <c r="I361" s="19" t="s">
        <v>119</v>
      </c>
      <c r="J361" s="19" t="s">
        <v>45</v>
      </c>
      <c r="K361" s="19" t="s">
        <v>108</v>
      </c>
      <c r="L361" s="19" t="s">
        <v>99</v>
      </c>
      <c r="M361" s="19" t="s">
        <v>334</v>
      </c>
      <c r="N361" s="19" t="s">
        <v>1745</v>
      </c>
      <c r="O361" s="19" t="s">
        <v>334</v>
      </c>
      <c r="P361" s="19" t="s">
        <v>346</v>
      </c>
      <c r="Q361" s="19" t="s">
        <v>988</v>
      </c>
      <c r="R361" s="19" t="s">
        <v>1746</v>
      </c>
      <c r="S361" s="19"/>
      <c r="T361" s="19" t="s">
        <v>52</v>
      </c>
      <c r="U361" s="19" t="s">
        <v>53</v>
      </c>
      <c r="V361" s="19" t="s">
        <v>71</v>
      </c>
      <c r="W361" s="19" t="s">
        <v>116</v>
      </c>
      <c r="X361" s="19"/>
      <c r="Y361" s="19"/>
      <c r="Z361" s="19" t="s">
        <v>1747</v>
      </c>
      <c r="AA361" s="19">
        <v>1</v>
      </c>
      <c r="AB361" s="19">
        <v>1</v>
      </c>
      <c r="AC361" s="19" t="s">
        <v>58</v>
      </c>
      <c r="AD361" s="19" t="s">
        <v>346</v>
      </c>
      <c r="AE361" s="19" t="s">
        <v>819</v>
      </c>
      <c r="AF361" s="19"/>
    </row>
    <row r="362" spans="1:34">
      <c r="A362" s="19">
        <v>354</v>
      </c>
      <c r="B362" s="19" t="s">
        <v>1275</v>
      </c>
      <c r="C362" s="19" t="s">
        <v>821</v>
      </c>
      <c r="D362" s="19" t="str">
        <f>HYPERLINK("http://henontech.com/fieldsafety/harzard/harzard_show.php?rid=4047&amp;url=harzardrecs.php","维修二号初冷器，折下的铝皮搭在了护栏上，如果一名操作工在巡检时，铝皮掉下来砸在了左胳膊上，造成皮肤划伤，到医务室治疗后，正常上班没有损工。")</f>
        <v>维修二号初冷器，折下的铝皮搭在了护栏上，如果一名操作工在巡检时，铝皮掉下来砸在了左胳膊上，造成皮肤划伤，到医务室治疗后，正常上班没有损工。</v>
      </c>
      <c r="E362" s="19" t="s">
        <v>1748</v>
      </c>
      <c r="F362" s="20" t="s">
        <v>42</v>
      </c>
      <c r="G362" s="22" t="s">
        <v>64</v>
      </c>
      <c r="H362" s="19" t="s">
        <v>44</v>
      </c>
      <c r="I362" s="19" t="s">
        <v>106</v>
      </c>
      <c r="J362" s="19" t="s">
        <v>175</v>
      </c>
      <c r="K362" s="19" t="s">
        <v>98</v>
      </c>
      <c r="L362" s="19" t="s">
        <v>99</v>
      </c>
      <c r="M362" s="19" t="s">
        <v>334</v>
      </c>
      <c r="N362" s="19" t="s">
        <v>1749</v>
      </c>
      <c r="O362" s="19" t="s">
        <v>334</v>
      </c>
      <c r="P362" s="19" t="s">
        <v>346</v>
      </c>
      <c r="Q362" s="19" t="s">
        <v>988</v>
      </c>
      <c r="R362" s="19" t="s">
        <v>1750</v>
      </c>
      <c r="S362" s="19"/>
      <c r="T362" s="19" t="s">
        <v>52</v>
      </c>
      <c r="U362" s="19" t="s">
        <v>70</v>
      </c>
      <c r="V362" s="19" t="s">
        <v>71</v>
      </c>
      <c r="W362" s="19" t="s">
        <v>72</v>
      </c>
      <c r="X362" s="19"/>
      <c r="Y362" s="19"/>
      <c r="Z362" s="19" t="s">
        <v>1751</v>
      </c>
      <c r="AA362" s="19">
        <v>1</v>
      </c>
      <c r="AB362" s="19">
        <v>1</v>
      </c>
      <c r="AC362" s="19" t="s">
        <v>58</v>
      </c>
      <c r="AD362" s="19" t="s">
        <v>346</v>
      </c>
      <c r="AE362" s="19" t="s">
        <v>843</v>
      </c>
      <c r="AF362" s="19"/>
    </row>
    <row r="363" spans="1:34">
      <c r="A363" s="19">
        <v>355</v>
      </c>
      <c r="B363" s="19" t="s">
        <v>1275</v>
      </c>
      <c r="C363" s="19" t="s">
        <v>803</v>
      </c>
      <c r="D363" s="19" t="str">
        <f>HYPERLINK("http://henontech.com/fieldsafety/harzard/harzard_show.php?rid=4048&amp;url=harzardrecs.php","脱硫塔水封下液管管线铝皮破损，一名操作工在夜间巡检时不慎将脚踝处割伤，经医务室处理后休息三天。")</f>
        <v>脱硫塔水封下液管管线铝皮破损，一名操作工在夜间巡检时不慎将脚踝处割伤，经医务室处理后休息三天。</v>
      </c>
      <c r="E363" s="19" t="s">
        <v>1752</v>
      </c>
      <c r="F363" s="20" t="s">
        <v>42</v>
      </c>
      <c r="G363" s="22" t="s">
        <v>64</v>
      </c>
      <c r="H363" s="19" t="s">
        <v>44</v>
      </c>
      <c r="I363" s="19"/>
      <c r="J363" s="19" t="s">
        <v>45</v>
      </c>
      <c r="K363" s="19"/>
      <c r="L363" s="19"/>
      <c r="M363" s="19" t="s">
        <v>334</v>
      </c>
      <c r="N363" s="19" t="s">
        <v>881</v>
      </c>
      <c r="O363" s="19" t="s">
        <v>334</v>
      </c>
      <c r="P363" s="19" t="s">
        <v>346</v>
      </c>
      <c r="Q363" s="19" t="s">
        <v>988</v>
      </c>
      <c r="R363" s="19" t="s">
        <v>1753</v>
      </c>
      <c r="S363" s="19"/>
      <c r="T363" s="19" t="s">
        <v>52</v>
      </c>
      <c r="U363" s="19" t="s">
        <v>89</v>
      </c>
      <c r="V363" s="19" t="s">
        <v>54</v>
      </c>
      <c r="W363" s="19" t="s">
        <v>72</v>
      </c>
      <c r="X363" s="19"/>
      <c r="Y363" s="19"/>
      <c r="Z363" s="19" t="s">
        <v>1754</v>
      </c>
      <c r="AA363" s="19">
        <v>1</v>
      </c>
      <c r="AB363" s="19">
        <v>1</v>
      </c>
      <c r="AC363" s="19" t="s">
        <v>58</v>
      </c>
      <c r="AD363" s="19" t="s">
        <v>346</v>
      </c>
      <c r="AE363" s="19" t="s">
        <v>819</v>
      </c>
      <c r="AF363" s="19"/>
    </row>
    <row r="364" spans="1:34">
      <c r="A364" s="19">
        <v>356</v>
      </c>
      <c r="B364" s="19" t="s">
        <v>1275</v>
      </c>
      <c r="C364" s="19" t="s">
        <v>1755</v>
      </c>
      <c r="D364" s="19" t="str">
        <f>HYPERLINK("http://henontech.com/fieldsafety/harzard/harzard_show.php?rid=4049&amp;url=harzardrecs.php","维修人员更换循环水池补水阀后，未及时清走旧阀，假如夜班操作工巡检时被换下的阀门绊倒，造成面部轻度擦伤，经公司医务室包扎后返岗上班")</f>
        <v>维修人员更换循环水池补水阀后，未及时清走旧阀，假如夜班操作工巡检时被换下的阀门绊倒，造成面部轻度擦伤，经公司医务室包扎后返岗上班</v>
      </c>
      <c r="E364" s="19" t="s">
        <v>1756</v>
      </c>
      <c r="F364" s="20" t="s">
        <v>42</v>
      </c>
      <c r="G364" s="22" t="s">
        <v>64</v>
      </c>
      <c r="H364" s="19" t="s">
        <v>44</v>
      </c>
      <c r="I364" s="19"/>
      <c r="J364" s="19" t="s">
        <v>182</v>
      </c>
      <c r="K364" s="19" t="s">
        <v>108</v>
      </c>
      <c r="L364" s="19" t="s">
        <v>99</v>
      </c>
      <c r="M364" s="19" t="s">
        <v>334</v>
      </c>
      <c r="N364" s="19" t="s">
        <v>1757</v>
      </c>
      <c r="O364" s="19" t="s">
        <v>334</v>
      </c>
      <c r="P364" s="19" t="s">
        <v>346</v>
      </c>
      <c r="Q364" s="19" t="s">
        <v>988</v>
      </c>
      <c r="R364" s="19" t="s">
        <v>1758</v>
      </c>
      <c r="S364" s="19"/>
      <c r="T364" s="19" t="s">
        <v>52</v>
      </c>
      <c r="U364" s="19" t="s">
        <v>70</v>
      </c>
      <c r="V364" s="19" t="s">
        <v>80</v>
      </c>
      <c r="W364" s="19" t="s">
        <v>55</v>
      </c>
      <c r="X364" s="19"/>
      <c r="Y364" s="19"/>
      <c r="Z364" s="19" t="s">
        <v>1759</v>
      </c>
      <c r="AA364" s="19">
        <v>1</v>
      </c>
      <c r="AB364" s="19">
        <v>1</v>
      </c>
      <c r="AC364" s="19" t="s">
        <v>58</v>
      </c>
      <c r="AD364" s="19" t="s">
        <v>346</v>
      </c>
      <c r="AE364" s="19" t="s">
        <v>843</v>
      </c>
      <c r="AF364" s="19"/>
    </row>
    <row r="365" spans="1:34">
      <c r="A365" s="19">
        <v>357</v>
      </c>
      <c r="B365" s="19" t="s">
        <v>1275</v>
      </c>
      <c r="C365" s="19" t="s">
        <v>1760</v>
      </c>
      <c r="D365" s="19" t="str">
        <f>HYPERLINK("http://henontech.com/fieldsafety/harzard/harzard_show.php?rid=4050&amp;url=harzardrecs.php","碳化平台封头吊装作业过程中，电动葫芦开关未放置安全位置，控制开关被封头砸毁漏电，导致一拆装人员触电，送医院抢救无效死亡。")</f>
        <v>碳化平台封头吊装作业过程中，电动葫芦开关未放置安全位置，控制开关被封头砸毁漏电，导致一拆装人员触电，送医院抢救无效死亡。</v>
      </c>
      <c r="E365" s="19" t="s">
        <v>1761</v>
      </c>
      <c r="F365" s="26" t="s">
        <v>1027</v>
      </c>
      <c r="G365" s="19"/>
      <c r="H365" s="19" t="s">
        <v>44</v>
      </c>
      <c r="I365" s="19" t="s">
        <v>106</v>
      </c>
      <c r="J365" s="19" t="s">
        <v>231</v>
      </c>
      <c r="K365" s="19" t="s">
        <v>108</v>
      </c>
      <c r="L365" s="19"/>
      <c r="M365" s="19" t="s">
        <v>663</v>
      </c>
      <c r="N365" s="19" t="s">
        <v>1762</v>
      </c>
      <c r="O365" s="19"/>
      <c r="P365" s="19"/>
      <c r="Q365" s="19"/>
      <c r="R365" s="19" t="s">
        <v>241</v>
      </c>
      <c r="S365" s="19"/>
      <c r="T365" s="19" t="s">
        <v>52</v>
      </c>
      <c r="U365" s="19" t="s">
        <v>53</v>
      </c>
      <c r="V365" s="19" t="s">
        <v>54</v>
      </c>
      <c r="W365" s="19" t="s">
        <v>55</v>
      </c>
      <c r="X365" s="19"/>
      <c r="Y365" s="19"/>
      <c r="Z365" s="19"/>
      <c r="AA365" s="19"/>
      <c r="AB365" s="19"/>
      <c r="AC365" s="19" t="s">
        <v>103</v>
      </c>
      <c r="AD365" s="19"/>
      <c r="AE365" s="19"/>
      <c r="AF365" s="19"/>
    </row>
    <row r="366" spans="1:34">
      <c r="A366" s="19">
        <v>358</v>
      </c>
      <c r="B366" s="19" t="s">
        <v>1275</v>
      </c>
      <c r="C366" s="19" t="s">
        <v>1763</v>
      </c>
      <c r="D366" s="19" t="str">
        <f>HYPERLINK("http://henontech.com/fieldsafety/harzard/harzard_show.php?rid=4051&amp;url=harzardrecs.php","两盐一楼电缆桥架顶部漏雨可能造成一名操作人员在合闸照明过程中，因安全风险辨识能力不足，导致人体触电")</f>
        <v>两盐一楼电缆桥架顶部漏雨可能造成一名操作人员在合闸照明过程中，因安全风险辨识能力不足，导致人体触电</v>
      </c>
      <c r="E366" s="19" t="s">
        <v>1764</v>
      </c>
      <c r="F366" s="20" t="s">
        <v>42</v>
      </c>
      <c r="G366" s="22" t="s">
        <v>64</v>
      </c>
      <c r="H366" s="19" t="s">
        <v>44</v>
      </c>
      <c r="I366" s="19" t="s">
        <v>119</v>
      </c>
      <c r="J366" s="19" t="s">
        <v>231</v>
      </c>
      <c r="K366" s="19" t="s">
        <v>170</v>
      </c>
      <c r="L366" s="19" t="s">
        <v>99</v>
      </c>
      <c r="M366" s="19" t="s">
        <v>334</v>
      </c>
      <c r="N366" s="19" t="s">
        <v>1765</v>
      </c>
      <c r="O366" s="19" t="s">
        <v>334</v>
      </c>
      <c r="P366" s="19" t="s">
        <v>346</v>
      </c>
      <c r="Q366" s="19" t="s">
        <v>988</v>
      </c>
      <c r="R366" s="19" t="s">
        <v>1766</v>
      </c>
      <c r="S366" s="19"/>
      <c r="T366" s="19" t="s">
        <v>52</v>
      </c>
      <c r="U366" s="19" t="s">
        <v>89</v>
      </c>
      <c r="V366" s="19" t="s">
        <v>71</v>
      </c>
      <c r="W366" s="19" t="s">
        <v>55</v>
      </c>
      <c r="X366" s="19"/>
      <c r="Y366" s="19"/>
      <c r="Z366" s="19" t="s">
        <v>1767</v>
      </c>
      <c r="AA366" s="19">
        <v>1</v>
      </c>
      <c r="AB366" s="19">
        <v>1</v>
      </c>
      <c r="AC366" s="19" t="s">
        <v>58</v>
      </c>
      <c r="AD366" s="19" t="s">
        <v>346</v>
      </c>
      <c r="AE366" s="19" t="s">
        <v>888</v>
      </c>
      <c r="AF366" s="19"/>
    </row>
    <row r="367" spans="1:34">
      <c r="A367" s="19">
        <v>359</v>
      </c>
      <c r="B367" s="19" t="s">
        <v>1275</v>
      </c>
      <c r="C367" s="19" t="s">
        <v>501</v>
      </c>
      <c r="D367" s="19" t="str">
        <f>HYPERLINK("http://henontech.com/fieldsafety/harzard/harzard_show.php?rid=4053&amp;url=harzardrecs.php","两盐大棚内一移动平台爬梯因放置在杂物上，底部不平且未固定造成倾斜，可能造成一名操作人员因风险辨识不足停留在旁边，被倾倒的移动平台砸伤")</f>
        <v>两盐大棚内一移动平台爬梯因放置在杂物上，底部不平且未固定造成倾斜，可能造成一名操作人员因风险辨识不足停留在旁边，被倾倒的移动平台砸伤</v>
      </c>
      <c r="E367" s="19" t="s">
        <v>1768</v>
      </c>
      <c r="F367" s="20" t="s">
        <v>42</v>
      </c>
      <c r="G367" s="22" t="s">
        <v>64</v>
      </c>
      <c r="H367" s="19" t="s">
        <v>44</v>
      </c>
      <c r="I367" s="19" t="s">
        <v>119</v>
      </c>
      <c r="J367" s="19" t="s">
        <v>175</v>
      </c>
      <c r="K367" s="19" t="s">
        <v>216</v>
      </c>
      <c r="L367" s="19"/>
      <c r="M367" s="19" t="s">
        <v>334</v>
      </c>
      <c r="N367" s="19" t="s">
        <v>1769</v>
      </c>
      <c r="O367" s="19" t="s">
        <v>334</v>
      </c>
      <c r="P367" s="19" t="s">
        <v>346</v>
      </c>
      <c r="Q367" s="19" t="s">
        <v>988</v>
      </c>
      <c r="R367" s="19" t="s">
        <v>1770</v>
      </c>
      <c r="S367" s="19"/>
      <c r="T367" s="19" t="s">
        <v>52</v>
      </c>
      <c r="U367" s="19" t="s">
        <v>89</v>
      </c>
      <c r="V367" s="19" t="s">
        <v>71</v>
      </c>
      <c r="W367" s="19" t="s">
        <v>55</v>
      </c>
      <c r="X367" s="19"/>
      <c r="Y367" s="19"/>
      <c r="Z367" s="19" t="s">
        <v>1771</v>
      </c>
      <c r="AA367" s="19">
        <v>1</v>
      </c>
      <c r="AB367" s="19">
        <v>1</v>
      </c>
      <c r="AC367" s="19" t="s">
        <v>58</v>
      </c>
      <c r="AD367" s="19" t="s">
        <v>346</v>
      </c>
      <c r="AE367" s="19" t="s">
        <v>888</v>
      </c>
      <c r="AF367" s="19"/>
    </row>
    <row r="368" spans="1:34">
      <c r="A368" s="19">
        <v>360</v>
      </c>
      <c r="B368" s="19" t="s">
        <v>1275</v>
      </c>
      <c r="C368" s="19" t="s">
        <v>1772</v>
      </c>
      <c r="D368" s="19" t="str">
        <f>HYPERLINK("http://henontech.com/fieldsafety/harzard/harzard_show.php?rid=4054&amp;url=harzardrecs.php","粗苯北区地沟盖板缺失，可能造成一名操作工夜间巡检时因风险源辨识不足，导致陷落地沟小腿摔伤")</f>
        <v>粗苯北区地沟盖板缺失，可能造成一名操作工夜间巡检时因风险源辨识不足，导致陷落地沟小腿摔伤</v>
      </c>
      <c r="E368" s="19" t="s">
        <v>1773</v>
      </c>
      <c r="F368" s="20" t="s">
        <v>42</v>
      </c>
      <c r="G368" s="22" t="s">
        <v>64</v>
      </c>
      <c r="H368" s="19" t="s">
        <v>44</v>
      </c>
      <c r="I368" s="19" t="s">
        <v>119</v>
      </c>
      <c r="J368" s="19" t="s">
        <v>182</v>
      </c>
      <c r="K368" s="19" t="s">
        <v>108</v>
      </c>
      <c r="L368" s="19" t="s">
        <v>99</v>
      </c>
      <c r="M368" s="19" t="s">
        <v>334</v>
      </c>
      <c r="N368" s="19" t="s">
        <v>1774</v>
      </c>
      <c r="O368" s="19" t="s">
        <v>334</v>
      </c>
      <c r="P368" s="19" t="s">
        <v>346</v>
      </c>
      <c r="Q368" s="19" t="s">
        <v>988</v>
      </c>
      <c r="R368" s="19" t="s">
        <v>1775</v>
      </c>
      <c r="S368" s="19"/>
      <c r="T368" s="19" t="s">
        <v>52</v>
      </c>
      <c r="U368" s="19" t="s">
        <v>89</v>
      </c>
      <c r="V368" s="19" t="s">
        <v>71</v>
      </c>
      <c r="W368" s="19" t="s">
        <v>55</v>
      </c>
      <c r="X368" s="19"/>
      <c r="Y368" s="19"/>
      <c r="Z368" s="19" t="s">
        <v>1776</v>
      </c>
      <c r="AA368" s="19">
        <v>1</v>
      </c>
      <c r="AB368" s="19">
        <v>1</v>
      </c>
      <c r="AC368" s="19" t="s">
        <v>58</v>
      </c>
      <c r="AD368" s="19" t="s">
        <v>346</v>
      </c>
      <c r="AE368" s="19" t="s">
        <v>843</v>
      </c>
      <c r="AF368" s="19"/>
    </row>
    <row r="369" spans="1:34">
      <c r="A369" s="19">
        <v>361</v>
      </c>
      <c r="B369" s="19" t="s">
        <v>1275</v>
      </c>
      <c r="C369" s="19" t="s">
        <v>1777</v>
      </c>
      <c r="D369" s="19" t="str">
        <f>HYPERLINK("http://henontech.com/fieldsafety/harzard/harzard_show.php?rid=4056&amp;url=harzardrecs.php","循环水冷却塔风机电缆接头裸露，一员工在巡检风机时，手部不小心触碰裸露部位，造成该员工触电（电压380V），经送医抢救无效死亡。")</f>
        <v>循环水冷却塔风机电缆接头裸露，一员工在巡检风机时，手部不小心触碰裸露部位，造成该员工触电（电压380V），经送医抢救无效死亡。</v>
      </c>
      <c r="E369" s="19" t="s">
        <v>1778</v>
      </c>
      <c r="F369" s="25" t="s">
        <v>828</v>
      </c>
      <c r="G369" s="22" t="s">
        <v>64</v>
      </c>
      <c r="H369" s="19" t="s">
        <v>44</v>
      </c>
      <c r="I369" s="19" t="s">
        <v>97</v>
      </c>
      <c r="J369" s="19" t="s">
        <v>231</v>
      </c>
      <c r="K369" s="19" t="s">
        <v>108</v>
      </c>
      <c r="L369" s="19" t="s">
        <v>99</v>
      </c>
      <c r="M369" s="19" t="s">
        <v>46</v>
      </c>
      <c r="N369" s="19" t="s">
        <v>1779</v>
      </c>
      <c r="O369" s="19" t="s">
        <v>46</v>
      </c>
      <c r="P369" s="19" t="s">
        <v>161</v>
      </c>
      <c r="Q369" s="19" t="s">
        <v>1780</v>
      </c>
      <c r="R369" s="19" t="s">
        <v>1781</v>
      </c>
      <c r="S369" s="19" t="s">
        <v>1782</v>
      </c>
      <c r="T369" s="19" t="s">
        <v>52</v>
      </c>
      <c r="U369" s="19" t="s">
        <v>53</v>
      </c>
      <c r="V369" s="19" t="s">
        <v>71</v>
      </c>
      <c r="W369" s="19" t="s">
        <v>116</v>
      </c>
      <c r="X369" s="19" t="s">
        <v>73</v>
      </c>
      <c r="Y369" s="19"/>
      <c r="Z369" s="19" t="s">
        <v>1783</v>
      </c>
      <c r="AA369" s="19">
        <v>1</v>
      </c>
      <c r="AB369" s="19"/>
      <c r="AC369" s="19" t="s">
        <v>103</v>
      </c>
      <c r="AD369" s="19"/>
      <c r="AE369" s="19"/>
      <c r="AF369" s="19"/>
    </row>
    <row r="370" spans="1:34">
      <c r="A370" s="19">
        <v>362</v>
      </c>
      <c r="B370" s="19" t="s">
        <v>1275</v>
      </c>
      <c r="C370" s="19" t="s">
        <v>785</v>
      </c>
      <c r="D370" s="19" t="str">
        <f>HYPERLINK("http://henontech.com/fieldsafety/harzard/harzard_show.php?rid=4057&amp;url=harzardrecs.php","中水浓缩加药间酸液管线与压力表连接的气体脉动阻尼器内的膜片破裂，使压力表的内件腐蚀，造成冒酸液，一名操作人员巡检时由于未佩带半面罩，使酸液溅到脸上，造成面部轻微灼伤，送医务室处理后在家休息三天复工。")</f>
        <v>中水浓缩加药间酸液管线与压力表连接的气体脉动阻尼器内的膜片破裂，使压力表的内件腐蚀，造成冒酸液，一名操作人员巡检时由于未佩带半面罩，使酸液溅到脸上，造成面部轻微灼伤，送医务室处理后在家休息三天复工。</v>
      </c>
      <c r="E370" s="19" t="s">
        <v>1784</v>
      </c>
      <c r="F370" s="20" t="s">
        <v>42</v>
      </c>
      <c r="G370" s="22" t="s">
        <v>64</v>
      </c>
      <c r="H370" s="19" t="s">
        <v>44</v>
      </c>
      <c r="I370" s="19" t="s">
        <v>119</v>
      </c>
      <c r="J370" s="19" t="s">
        <v>45</v>
      </c>
      <c r="K370" s="19"/>
      <c r="L370" s="19"/>
      <c r="M370" s="19" t="s">
        <v>232</v>
      </c>
      <c r="N370" s="19" t="s">
        <v>1785</v>
      </c>
      <c r="O370" s="19" t="s">
        <v>232</v>
      </c>
      <c r="P370" s="19" t="s">
        <v>234</v>
      </c>
      <c r="Q370" s="19" t="s">
        <v>1786</v>
      </c>
      <c r="R370" s="19" t="s">
        <v>921</v>
      </c>
      <c r="S370" s="19"/>
      <c r="T370" s="19" t="s">
        <v>52</v>
      </c>
      <c r="U370" s="19" t="s">
        <v>89</v>
      </c>
      <c r="V370" s="19" t="s">
        <v>71</v>
      </c>
      <c r="W370" s="19" t="s">
        <v>55</v>
      </c>
      <c r="X370" s="19" t="s">
        <v>771</v>
      </c>
      <c r="Y370" s="19" t="s">
        <v>771</v>
      </c>
      <c r="Z370" s="19" t="s">
        <v>856</v>
      </c>
      <c r="AA370" s="19">
        <v>1</v>
      </c>
      <c r="AB370" s="19">
        <v>1</v>
      </c>
      <c r="AC370" s="19" t="s">
        <v>58</v>
      </c>
      <c r="AD370" s="19" t="s">
        <v>234</v>
      </c>
      <c r="AE370" s="19" t="s">
        <v>1787</v>
      </c>
      <c r="AF370" s="19"/>
    </row>
    <row r="371" spans="1:34">
      <c r="A371" s="19">
        <v>363</v>
      </c>
      <c r="B371" s="19" t="s">
        <v>1275</v>
      </c>
      <c r="C371" s="19" t="s">
        <v>741</v>
      </c>
      <c r="D371" s="19" t="str">
        <f>HYPERLINK("http://henontech.com/fieldsafety/harzard/harzard_show.php?rid=4060&amp;url=harzardrecs.php","西硫铵饱和器北蒸汽阀门泄漏大量蒸汽。导致一名巡检人员被热蒸汽水烫伤腿部，送医院治疗，损工7天。")</f>
        <v>西硫铵饱和器北蒸汽阀门泄漏大量蒸汽。导致一名巡检人员被热蒸汽水烫伤腿部，送医院治疗，损工7天。</v>
      </c>
      <c r="E371" s="19" t="s">
        <v>1788</v>
      </c>
      <c r="F371" s="20" t="s">
        <v>42</v>
      </c>
      <c r="G371" s="22" t="s">
        <v>64</v>
      </c>
      <c r="H371" s="19" t="s">
        <v>44</v>
      </c>
      <c r="I371" s="19" t="s">
        <v>119</v>
      </c>
      <c r="J371" s="19" t="s">
        <v>45</v>
      </c>
      <c r="K371" s="19" t="s">
        <v>108</v>
      </c>
      <c r="L371" s="19" t="s">
        <v>99</v>
      </c>
      <c r="M371" s="19" t="s">
        <v>334</v>
      </c>
      <c r="N371" s="19" t="s">
        <v>1702</v>
      </c>
      <c r="O371" s="19" t="s">
        <v>334</v>
      </c>
      <c r="P371" s="19" t="s">
        <v>346</v>
      </c>
      <c r="Q371" s="19" t="s">
        <v>988</v>
      </c>
      <c r="R371" s="19" t="s">
        <v>1789</v>
      </c>
      <c r="S371" s="19"/>
      <c r="T371" s="19" t="s">
        <v>52</v>
      </c>
      <c r="U371" s="19" t="s">
        <v>89</v>
      </c>
      <c r="V371" s="19" t="s">
        <v>71</v>
      </c>
      <c r="W371" s="19" t="s">
        <v>55</v>
      </c>
      <c r="X371" s="19"/>
      <c r="Y371" s="19"/>
      <c r="Z371" s="19" t="s">
        <v>1790</v>
      </c>
      <c r="AA371" s="19">
        <v>1</v>
      </c>
      <c r="AB371" s="19">
        <v>1</v>
      </c>
      <c r="AC371" s="19" t="s">
        <v>58</v>
      </c>
      <c r="AD371" s="19" t="s">
        <v>346</v>
      </c>
      <c r="AE371" s="19" t="s">
        <v>724</v>
      </c>
      <c r="AF371" s="19"/>
    </row>
    <row r="372" spans="1:34">
      <c r="A372" s="19">
        <v>364</v>
      </c>
      <c r="B372" s="19" t="s">
        <v>1275</v>
      </c>
      <c r="C372" s="19" t="s">
        <v>1791</v>
      </c>
      <c r="D372" s="19" t="str">
        <f>HYPERLINK("http://henontech.com/fieldsafety/harzard/harzard_show.php?rid=4061&amp;url=harzardrecs.php","一名巡检工在巡查盛有脱硫液的再生槽时，不小心踏入未在有效位置的人孔盖上，巡检工掉入再生槽，造成巡检工一人死亡。")</f>
        <v>一名巡检工在巡查盛有脱硫液的再生槽时，不小心踏入未在有效位置的人孔盖上，巡检工掉入再生槽，造成巡检工一人死亡。</v>
      </c>
      <c r="E372" s="19" t="s">
        <v>1792</v>
      </c>
      <c r="F372" s="20" t="s">
        <v>42</v>
      </c>
      <c r="G372" s="24" t="s">
        <v>251</v>
      </c>
      <c r="H372" s="19" t="s">
        <v>44</v>
      </c>
      <c r="I372" s="19" t="s">
        <v>119</v>
      </c>
      <c r="J372" s="19" t="s">
        <v>45</v>
      </c>
      <c r="K372" s="19" t="s">
        <v>108</v>
      </c>
      <c r="L372" s="19" t="s">
        <v>99</v>
      </c>
      <c r="M372" s="19" t="s">
        <v>241</v>
      </c>
      <c r="N372" s="19" t="s">
        <v>1793</v>
      </c>
      <c r="O372" s="19" t="s">
        <v>241</v>
      </c>
      <c r="P372" s="19" t="s">
        <v>1793</v>
      </c>
      <c r="Q372" s="19" t="s">
        <v>1554</v>
      </c>
      <c r="R372" s="19" t="s">
        <v>1794</v>
      </c>
      <c r="S372" s="19"/>
      <c r="T372" s="19" t="s">
        <v>52</v>
      </c>
      <c r="U372" s="19" t="s">
        <v>53</v>
      </c>
      <c r="V372" s="19" t="s">
        <v>71</v>
      </c>
      <c r="W372" s="19" t="s">
        <v>116</v>
      </c>
      <c r="X372" s="19" t="s">
        <v>73</v>
      </c>
      <c r="Y372" s="19" t="s">
        <v>73</v>
      </c>
      <c r="Z372" s="19" t="s">
        <v>1795</v>
      </c>
      <c r="AA372" s="19">
        <v>1</v>
      </c>
      <c r="AB372" s="19">
        <v>1</v>
      </c>
      <c r="AC372" s="19" t="s">
        <v>58</v>
      </c>
      <c r="AD372" s="19" t="s">
        <v>1793</v>
      </c>
      <c r="AE372" s="19" t="s">
        <v>1275</v>
      </c>
      <c r="AF372" s="19" t="s">
        <v>1796</v>
      </c>
    </row>
    <row r="373" spans="1:34">
      <c r="A373" s="19">
        <v>365</v>
      </c>
      <c r="B373" s="19" t="s">
        <v>1275</v>
      </c>
      <c r="C373" s="19" t="s">
        <v>946</v>
      </c>
      <c r="D373" s="19" t="str">
        <f>HYPERLINK("http://henontech.com/fieldsafety/harzard/harzard_show.php?rid=4062&amp;url=harzardrecs.php","西硫铵2＃大母液泵电机防护罩因长年使用腐蚀严重并破损，如果一名操作工在电机运转过程中擦拭破损的电机防护罩，右手可能被防护罩里面的风扇卷入其中导致右手食指跟中指被割掉，送医治疗一月，回家休养两月后康复。")</f>
        <v>西硫铵2＃大母液泵电机防护罩因长年使用腐蚀严重并破损，如果一名操作工在电机运转过程中擦拭破损的电机防护罩，右手可能被防护罩里面的风扇卷入其中导致右手食指跟中指被割掉，送医治疗一月，回家休养两月后康复。</v>
      </c>
      <c r="E373" s="19" t="s">
        <v>1797</v>
      </c>
      <c r="F373" s="20" t="s">
        <v>42</v>
      </c>
      <c r="G373" s="22" t="s">
        <v>64</v>
      </c>
      <c r="H373" s="19" t="s">
        <v>44</v>
      </c>
      <c r="I373" s="19" t="s">
        <v>119</v>
      </c>
      <c r="J373" s="19" t="s">
        <v>45</v>
      </c>
      <c r="K373" s="19" t="s">
        <v>170</v>
      </c>
      <c r="L373" s="19" t="s">
        <v>99</v>
      </c>
      <c r="M373" s="19" t="s">
        <v>334</v>
      </c>
      <c r="N373" s="19" t="s">
        <v>743</v>
      </c>
      <c r="O373" s="19" t="s">
        <v>334</v>
      </c>
      <c r="P373" s="19" t="s">
        <v>346</v>
      </c>
      <c r="Q373" s="19" t="s">
        <v>988</v>
      </c>
      <c r="R373" s="19" t="s">
        <v>1798</v>
      </c>
      <c r="S373" s="19"/>
      <c r="T373" s="19" t="s">
        <v>52</v>
      </c>
      <c r="U373" s="19" t="s">
        <v>89</v>
      </c>
      <c r="V373" s="19" t="s">
        <v>71</v>
      </c>
      <c r="W373" s="19" t="s">
        <v>55</v>
      </c>
      <c r="X373" s="19"/>
      <c r="Y373" s="19"/>
      <c r="Z373" s="19" t="s">
        <v>755</v>
      </c>
      <c r="AA373" s="19">
        <v>1</v>
      </c>
      <c r="AB373" s="19">
        <v>1</v>
      </c>
      <c r="AC373" s="19" t="s">
        <v>58</v>
      </c>
      <c r="AD373" s="19" t="s">
        <v>346</v>
      </c>
      <c r="AE373" s="19" t="s">
        <v>724</v>
      </c>
      <c r="AF373" s="19"/>
    </row>
    <row r="374" spans="1:34" customHeight="1" ht="42">
      <c r="A374" s="19">
        <v>366</v>
      </c>
      <c r="B374" s="19" t="s">
        <v>1275</v>
      </c>
      <c r="C374" s="19" t="s">
        <v>1449</v>
      </c>
      <c r="D374" s="19" t="str">
        <f>HYPERLINK("http://henontech.com/fieldsafety/harzard/harzard_show.php?rid=4063&amp;url=harzardrecs.php","氨水制备器液氨管线腐蚀严重压力增高高造成管线泄露液氨喷溅，一名操作工巡检经过此处眼睛和皮肤被液氨灼伤严重送医救治后眼睛失明，损工在家休养。")</f>
        <v>氨水制备器液氨管线腐蚀严重压力增高高造成管线泄露液氨喷溅，一名操作工巡检经过此处眼睛和皮肤被液氨灼伤严重送医救治后眼睛失明，损工在家休养。</v>
      </c>
      <c r="E374" s="19" t="s">
        <v>1799</v>
      </c>
      <c r="F374" s="20" t="s">
        <v>42</v>
      </c>
      <c r="G374" s="21" t="s">
        <v>43</v>
      </c>
      <c r="H374" s="19" t="s">
        <v>44</v>
      </c>
      <c r="I374" s="19" t="s">
        <v>119</v>
      </c>
      <c r="J374" s="19" t="s">
        <v>175</v>
      </c>
      <c r="K374" s="19" t="s">
        <v>108</v>
      </c>
      <c r="L374" s="19" t="s">
        <v>99</v>
      </c>
      <c r="M374" s="19" t="s">
        <v>241</v>
      </c>
      <c r="N374" s="19" t="s">
        <v>1800</v>
      </c>
      <c r="O374" s="19" t="s">
        <v>241</v>
      </c>
      <c r="P374" s="19" t="s">
        <v>1516</v>
      </c>
      <c r="Q374" s="19" t="s">
        <v>1517</v>
      </c>
      <c r="R374" s="19" t="s">
        <v>1801</v>
      </c>
      <c r="S374" s="19"/>
      <c r="T374" s="19" t="s">
        <v>52</v>
      </c>
      <c r="U374" s="19" t="s">
        <v>53</v>
      </c>
      <c r="V374" s="19" t="s">
        <v>71</v>
      </c>
      <c r="W374" s="19" t="s">
        <v>116</v>
      </c>
      <c r="X374" s="19" t="s">
        <v>73</v>
      </c>
      <c r="Y374" s="19" t="s">
        <v>364</v>
      </c>
      <c r="Z374" s="19" t="s">
        <v>1802</v>
      </c>
      <c r="AA374" s="19">
        <v>2</v>
      </c>
      <c r="AB374" s="19">
        <v>1</v>
      </c>
      <c r="AC374" s="19" t="s">
        <v>58</v>
      </c>
      <c r="AD374" s="19" t="s">
        <v>1516</v>
      </c>
      <c r="AE374" s="19" t="s">
        <v>819</v>
      </c>
      <c r="AF374" s="19" t="s">
        <v>1803</v>
      </c>
    </row>
    <row r="375" spans="1:34">
      <c r="A375" s="19">
        <v>367</v>
      </c>
      <c r="B375" s="19" t="s">
        <v>843</v>
      </c>
      <c r="C375" s="19" t="s">
        <v>152</v>
      </c>
      <c r="D375" s="19" t="str">
        <f>HYPERLINK("http://henontech.com/fieldsafety/harzard/harzard_show.php?rid=4068&amp;url=harzardrecs.php","干熄炉五层到七层消防水管道截断未及时拆除，由于时间较长腐蚀严重从30高空掉落至地面砸中一名巡检人员，当场死亡")</f>
        <v>干熄炉五层到七层消防水管道截断未及时拆除，由于时间较长腐蚀严重从30高空掉落至地面砸中一名巡检人员，当场死亡</v>
      </c>
      <c r="E375" s="19" t="s">
        <v>735</v>
      </c>
      <c r="F375" s="25" t="s">
        <v>828</v>
      </c>
      <c r="G375" s="22" t="s">
        <v>64</v>
      </c>
      <c r="H375" s="19" t="s">
        <v>44</v>
      </c>
      <c r="I375" s="19"/>
      <c r="J375" s="19" t="s">
        <v>45</v>
      </c>
      <c r="K375" s="19" t="s">
        <v>108</v>
      </c>
      <c r="L375" s="19"/>
      <c r="M375" s="19" t="s">
        <v>46</v>
      </c>
      <c r="N375" s="19" t="s">
        <v>1804</v>
      </c>
      <c r="O375" s="19" t="s">
        <v>46</v>
      </c>
      <c r="P375" s="19" t="s">
        <v>161</v>
      </c>
      <c r="Q375" s="19" t="s">
        <v>1780</v>
      </c>
      <c r="R375" s="19" t="s">
        <v>1805</v>
      </c>
      <c r="S375" s="19" t="s">
        <v>1806</v>
      </c>
      <c r="T375" s="19" t="s">
        <v>52</v>
      </c>
      <c r="U375" s="19" t="s">
        <v>53</v>
      </c>
      <c r="V375" s="19" t="s">
        <v>80</v>
      </c>
      <c r="W375" s="19" t="s">
        <v>116</v>
      </c>
      <c r="X375" s="19" t="s">
        <v>90</v>
      </c>
      <c r="Y375" s="19"/>
      <c r="Z375" s="19" t="s">
        <v>1807</v>
      </c>
      <c r="AA375" s="19">
        <v>1</v>
      </c>
      <c r="AB375" s="19"/>
      <c r="AC375" s="19" t="s">
        <v>103</v>
      </c>
      <c r="AD375" s="19"/>
      <c r="AE375" s="19"/>
      <c r="AF375" s="19"/>
    </row>
    <row r="376" spans="1:34">
      <c r="A376" s="19">
        <v>368</v>
      </c>
      <c r="B376" s="19" t="s">
        <v>843</v>
      </c>
      <c r="C376" s="19" t="s">
        <v>1808</v>
      </c>
      <c r="D376" s="19" t="str">
        <f>HYPERLINK("http://henontech.com/fieldsafety/harzard/harzard_show.php?rid=4069&amp;url=harzardrecs.php","汽机房楼顶照明灯电线裸露，一员工巡检时从此经过，不慎触碰裸露电线，触电倒地，经现场心肺复苏后并送医抢救，经抢救无效死亡。")</f>
        <v>汽机房楼顶照明灯电线裸露，一员工巡检时从此经过，不慎触碰裸露电线，触电倒地，经现场心肺复苏后并送医抢救，经抢救无效死亡。</v>
      </c>
      <c r="E376" s="19" t="s">
        <v>1809</v>
      </c>
      <c r="F376" s="25" t="s">
        <v>828</v>
      </c>
      <c r="G376" s="22" t="s">
        <v>64</v>
      </c>
      <c r="H376" s="19" t="s">
        <v>44</v>
      </c>
      <c r="I376" s="19" t="s">
        <v>97</v>
      </c>
      <c r="J376" s="19" t="s">
        <v>182</v>
      </c>
      <c r="K376" s="19" t="s">
        <v>98</v>
      </c>
      <c r="L376" s="19" t="s">
        <v>99</v>
      </c>
      <c r="M376" s="19" t="s">
        <v>46</v>
      </c>
      <c r="N376" s="19" t="s">
        <v>1810</v>
      </c>
      <c r="O376" s="19" t="s">
        <v>46</v>
      </c>
      <c r="P376" s="19" t="s">
        <v>161</v>
      </c>
      <c r="Q376" s="19" t="s">
        <v>1780</v>
      </c>
      <c r="R376" s="19" t="s">
        <v>1811</v>
      </c>
      <c r="S376" s="19" t="s">
        <v>1812</v>
      </c>
      <c r="T376" s="19" t="s">
        <v>52</v>
      </c>
      <c r="U376" s="19" t="s">
        <v>53</v>
      </c>
      <c r="V376" s="19" t="s">
        <v>71</v>
      </c>
      <c r="W376" s="19" t="s">
        <v>116</v>
      </c>
      <c r="X376" s="19" t="s">
        <v>73</v>
      </c>
      <c r="Y376" s="19"/>
      <c r="Z376" s="19" t="s">
        <v>1813</v>
      </c>
      <c r="AA376" s="19">
        <v>1</v>
      </c>
      <c r="AB376" s="19"/>
      <c r="AC376" s="19" t="s">
        <v>103</v>
      </c>
      <c r="AD376" s="19"/>
      <c r="AE376" s="19"/>
      <c r="AF376" s="19"/>
    </row>
    <row r="377" spans="1:34" customHeight="1" ht="42">
      <c r="A377" s="19">
        <v>369</v>
      </c>
      <c r="B377" s="19" t="s">
        <v>843</v>
      </c>
      <c r="C377" s="19" t="s">
        <v>1457</v>
      </c>
      <c r="D377" s="19" t="str">
        <f>HYPERLINK("http://henontech.com/fieldsafety/harzard/harzard_show.php?rid=4070&amp;url=harzardrecs.php","离心机在运转时一操作工用擦机布进行设备擦拭导致抹布被离心机运转皮带卷入操作工手跟着卷入导致两个手指折断，送医治疗三个月在家休养一年。")</f>
        <v>离心机在运转时一操作工用擦机布进行设备擦拭导致抹布被离心机运转皮带卷入操作工手跟着卷入导致两个手指折断，送医治疗三个月在家休养一年。</v>
      </c>
      <c r="E377" s="19" t="s">
        <v>1814</v>
      </c>
      <c r="F377" s="20" t="s">
        <v>42</v>
      </c>
      <c r="G377" s="21" t="s">
        <v>43</v>
      </c>
      <c r="H377" s="19" t="s">
        <v>44</v>
      </c>
      <c r="I377" s="19" t="s">
        <v>106</v>
      </c>
      <c r="J377" s="19" t="s">
        <v>175</v>
      </c>
      <c r="K377" s="19"/>
      <c r="L377" s="19"/>
      <c r="M377" s="19" t="s">
        <v>241</v>
      </c>
      <c r="N377" s="19" t="s">
        <v>1815</v>
      </c>
      <c r="O377" s="19" t="s">
        <v>241</v>
      </c>
      <c r="P377" s="19" t="s">
        <v>1516</v>
      </c>
      <c r="Q377" s="19" t="s">
        <v>1517</v>
      </c>
      <c r="R377" s="19" t="s">
        <v>1816</v>
      </c>
      <c r="S377" s="19"/>
      <c r="T377" s="19" t="s">
        <v>52</v>
      </c>
      <c r="U377" s="19" t="s">
        <v>89</v>
      </c>
      <c r="V377" s="19" t="s">
        <v>71</v>
      </c>
      <c r="W377" s="19" t="s">
        <v>55</v>
      </c>
      <c r="X377" s="19" t="s">
        <v>188</v>
      </c>
      <c r="Y377" s="19" t="s">
        <v>188</v>
      </c>
      <c r="Z377" s="19" t="s">
        <v>1817</v>
      </c>
      <c r="AA377" s="19">
        <v>2</v>
      </c>
      <c r="AB377" s="19">
        <v>2</v>
      </c>
      <c r="AC377" s="19" t="s">
        <v>58</v>
      </c>
      <c r="AD377" s="19" t="s">
        <v>1516</v>
      </c>
      <c r="AE377" s="19" t="s">
        <v>819</v>
      </c>
      <c r="AF377" s="19" t="s">
        <v>1818</v>
      </c>
    </row>
    <row r="378" spans="1:34">
      <c r="A378" s="19">
        <v>370</v>
      </c>
      <c r="B378" s="19" t="s">
        <v>843</v>
      </c>
      <c r="C378" s="19" t="s">
        <v>1808</v>
      </c>
      <c r="D378" s="19" t="str">
        <f>HYPERLINK("http://henontech.com/fieldsafety/harzard/harzard_show.php?rid=4071&amp;url=harzardrecs.php","4#减温减压电动门缺防雨罩，阀杆易锈蚀、卡涩，无法开关，造成阀门损坏，财产损失一万元。")</f>
        <v>4#减温减压电动门缺防雨罩，阀杆易锈蚀、卡涩，无法开关，造成阀门损坏，财产损失一万元。</v>
      </c>
      <c r="E378" s="19" t="s">
        <v>1819</v>
      </c>
      <c r="F378" s="25" t="s">
        <v>828</v>
      </c>
      <c r="G378" s="22" t="s">
        <v>64</v>
      </c>
      <c r="H378" s="19" t="s">
        <v>44</v>
      </c>
      <c r="I378" s="19" t="s">
        <v>97</v>
      </c>
      <c r="J378" s="19" t="s">
        <v>182</v>
      </c>
      <c r="K378" s="19" t="s">
        <v>108</v>
      </c>
      <c r="L378" s="19" t="s">
        <v>99</v>
      </c>
      <c r="M378" s="19" t="s">
        <v>46</v>
      </c>
      <c r="N378" s="19" t="s">
        <v>1820</v>
      </c>
      <c r="O378" s="19" t="s">
        <v>46</v>
      </c>
      <c r="P378" s="19" t="s">
        <v>161</v>
      </c>
      <c r="Q378" s="19" t="s">
        <v>1780</v>
      </c>
      <c r="R378" s="19" t="s">
        <v>1821</v>
      </c>
      <c r="S378" s="19" t="s">
        <v>1822</v>
      </c>
      <c r="T378" s="19" t="s">
        <v>78</v>
      </c>
      <c r="U378" s="19" t="s">
        <v>79</v>
      </c>
      <c r="V378" s="19" t="s">
        <v>54</v>
      </c>
      <c r="W378" s="19" t="s">
        <v>81</v>
      </c>
      <c r="X378" s="19" t="s">
        <v>73</v>
      </c>
      <c r="Y378" s="19"/>
      <c r="Z378" s="19" t="s">
        <v>1823</v>
      </c>
      <c r="AA378" s="19">
        <v>1</v>
      </c>
      <c r="AB378" s="19"/>
      <c r="AC378" s="19" t="s">
        <v>103</v>
      </c>
      <c r="AD378" s="19"/>
      <c r="AE378" s="19"/>
      <c r="AF378" s="19"/>
    </row>
    <row r="379" spans="1:34">
      <c r="A379" s="19">
        <v>371</v>
      </c>
      <c r="B379" s="19" t="s">
        <v>843</v>
      </c>
      <c r="C379" s="19" t="s">
        <v>563</v>
      </c>
      <c r="D379" s="19" t="str">
        <f>HYPERLINK("http://henontech.com/fieldsafety/harzard/harzard_show.php?rid=4072&amp;url=harzardrecs.php","一职工经过仓库时碰到仓库铁门上，导致右肩受伤，送医院确珍为软组织受伤，住院治疗两天，回家休养一天复工。")</f>
        <v>一职工经过仓库时碰到仓库铁门上，导致右肩受伤，送医院确珍为软组织受伤，住院治疗两天，回家休养一天复工。</v>
      </c>
      <c r="E379" s="19" t="s">
        <v>1824</v>
      </c>
      <c r="F379" s="20" t="s">
        <v>42</v>
      </c>
      <c r="G379" s="22" t="s">
        <v>64</v>
      </c>
      <c r="H379" s="19" t="s">
        <v>44</v>
      </c>
      <c r="I379" s="19" t="s">
        <v>119</v>
      </c>
      <c r="J379" s="19" t="s">
        <v>182</v>
      </c>
      <c r="K379" s="19" t="s">
        <v>98</v>
      </c>
      <c r="L379" s="19" t="s">
        <v>99</v>
      </c>
      <c r="M379" s="19" t="s">
        <v>565</v>
      </c>
      <c r="N379" s="19" t="s">
        <v>1825</v>
      </c>
      <c r="O379" s="19" t="s">
        <v>565</v>
      </c>
      <c r="P379" s="19" t="s">
        <v>627</v>
      </c>
      <c r="Q379" s="19" t="s">
        <v>1707</v>
      </c>
      <c r="R379" s="19" t="s">
        <v>1826</v>
      </c>
      <c r="S379" s="19"/>
      <c r="T379" s="19" t="s">
        <v>52</v>
      </c>
      <c r="U379" s="19" t="s">
        <v>89</v>
      </c>
      <c r="V379" s="19" t="s">
        <v>71</v>
      </c>
      <c r="W379" s="19" t="s">
        <v>55</v>
      </c>
      <c r="X379" s="19"/>
      <c r="Y379" s="19"/>
      <c r="Z379" s="19" t="s">
        <v>1827</v>
      </c>
      <c r="AA379" s="19">
        <v>1</v>
      </c>
      <c r="AB379" s="19">
        <v>1</v>
      </c>
      <c r="AC379" s="19" t="s">
        <v>58</v>
      </c>
      <c r="AD379" s="19" t="s">
        <v>627</v>
      </c>
      <c r="AE379" s="19" t="s">
        <v>1707</v>
      </c>
      <c r="AF379" s="19"/>
    </row>
    <row r="380" spans="1:34">
      <c r="A380" s="19">
        <v>372</v>
      </c>
      <c r="B380" s="19" t="s">
        <v>843</v>
      </c>
      <c r="C380" s="19" t="s">
        <v>578</v>
      </c>
      <c r="D380" s="19" t="str">
        <f>HYPERLINK("http://henontech.com/fieldsafety/harzard/harzard_show.php?rid=4073&amp;url=harzardrecs.php","一员工在巡检时不慎将右脚滑入缺失盖板的排水沟内，造成腿部受伤，送医确诊为右小腿骨折，住院治疗五天回家休养90天复工")</f>
        <v>一员工在巡检时不慎将右脚滑入缺失盖板的排水沟内，造成腿部受伤，送医确诊为右小腿骨折，住院治疗五天回家休养90天复工</v>
      </c>
      <c r="E380" s="19" t="s">
        <v>1828</v>
      </c>
      <c r="F380" s="20" t="s">
        <v>42</v>
      </c>
      <c r="G380" s="21" t="s">
        <v>43</v>
      </c>
      <c r="H380" s="19" t="s">
        <v>44</v>
      </c>
      <c r="I380" s="19" t="s">
        <v>97</v>
      </c>
      <c r="J380" s="19" t="s">
        <v>182</v>
      </c>
      <c r="K380" s="19" t="s">
        <v>108</v>
      </c>
      <c r="L380" s="19" t="s">
        <v>99</v>
      </c>
      <c r="M380" s="19" t="s">
        <v>565</v>
      </c>
      <c r="N380" s="19" t="s">
        <v>1829</v>
      </c>
      <c r="O380" s="19" t="s">
        <v>565</v>
      </c>
      <c r="P380" s="19" t="s">
        <v>627</v>
      </c>
      <c r="Q380" s="19" t="s">
        <v>1707</v>
      </c>
      <c r="R380" s="19" t="s">
        <v>1830</v>
      </c>
      <c r="S380" s="19"/>
      <c r="T380" s="19" t="s">
        <v>52</v>
      </c>
      <c r="U380" s="19" t="s">
        <v>89</v>
      </c>
      <c r="V380" s="19" t="s">
        <v>71</v>
      </c>
      <c r="W380" s="19" t="s">
        <v>55</v>
      </c>
      <c r="X380" s="19"/>
      <c r="Y380" s="19"/>
      <c r="Z380" s="19" t="s">
        <v>1831</v>
      </c>
      <c r="AA380" s="19">
        <v>1</v>
      </c>
      <c r="AB380" s="19">
        <v>1</v>
      </c>
      <c r="AC380" s="19" t="s">
        <v>58</v>
      </c>
      <c r="AD380" s="19" t="s">
        <v>627</v>
      </c>
      <c r="AE380" s="19" t="s">
        <v>1707</v>
      </c>
      <c r="AF380" s="19"/>
    </row>
    <row r="381" spans="1:34" customHeight="1" ht="42">
      <c r="A381" s="19">
        <v>373</v>
      </c>
      <c r="B381" s="19" t="s">
        <v>843</v>
      </c>
      <c r="C381" s="19" t="s">
        <v>1832</v>
      </c>
      <c r="D381" s="19" t="str">
        <f>HYPERLINK("http://henontech.com/fieldsafety/harzard/harzard_show.php?rid=4074&amp;url=harzardrecs.php","离心机没有完全停止一操作工用不锈钢棍清机，棍子被离心机叶轮绞入导致该操作工胳膊严重扭伤，送医治疗一周在家休养三个月损工三个月零7天。")</f>
        <v>离心机没有完全停止一操作工用不锈钢棍清机，棍子被离心机叶轮绞入导致该操作工胳膊严重扭伤，送医治疗一周在家休养三个月损工三个月零7天。</v>
      </c>
      <c r="E381" s="19" t="s">
        <v>1833</v>
      </c>
      <c r="F381" s="20" t="s">
        <v>42</v>
      </c>
      <c r="G381" s="21" t="s">
        <v>43</v>
      </c>
      <c r="H381" s="19" t="s">
        <v>44</v>
      </c>
      <c r="I381" s="19" t="s">
        <v>1834</v>
      </c>
      <c r="J381" s="19" t="s">
        <v>175</v>
      </c>
      <c r="K381" s="19" t="s">
        <v>170</v>
      </c>
      <c r="L381" s="19" t="s">
        <v>99</v>
      </c>
      <c r="M381" s="19" t="s">
        <v>241</v>
      </c>
      <c r="N381" s="19" t="s">
        <v>1835</v>
      </c>
      <c r="O381" s="19" t="s">
        <v>241</v>
      </c>
      <c r="P381" s="19" t="s">
        <v>1516</v>
      </c>
      <c r="Q381" s="19" t="s">
        <v>1517</v>
      </c>
      <c r="R381" s="19" t="s">
        <v>1816</v>
      </c>
      <c r="S381" s="19"/>
      <c r="T381" s="19" t="s">
        <v>52</v>
      </c>
      <c r="U381" s="19" t="s">
        <v>89</v>
      </c>
      <c r="V381" s="19" t="s">
        <v>71</v>
      </c>
      <c r="W381" s="19" t="s">
        <v>55</v>
      </c>
      <c r="X381" s="19" t="s">
        <v>188</v>
      </c>
      <c r="Y381" s="19" t="s">
        <v>188</v>
      </c>
      <c r="Z381" s="19" t="s">
        <v>1836</v>
      </c>
      <c r="AA381" s="19">
        <v>2</v>
      </c>
      <c r="AB381" s="19">
        <v>2</v>
      </c>
      <c r="AC381" s="19" t="s">
        <v>58</v>
      </c>
      <c r="AD381" s="19" t="s">
        <v>1516</v>
      </c>
      <c r="AE381" s="19" t="s">
        <v>819</v>
      </c>
      <c r="AF381" s="19" t="s">
        <v>1837</v>
      </c>
    </row>
    <row r="382" spans="1:34">
      <c r="A382" s="19">
        <v>374</v>
      </c>
      <c r="B382" s="19" t="s">
        <v>843</v>
      </c>
      <c r="C382" s="19" t="s">
        <v>563</v>
      </c>
      <c r="D382" s="19" t="str">
        <f>HYPERLINK("http://henontech.com/fieldsafety/harzard/harzard_show.php?rid=4075&amp;url=harzardrecs.php","一水桶放置在东一东门拐角的黑暗角落里，一员工向上走时，未看到角落里的水桶，被绊倒膝盖擦伤，消毒处理休息一会儿后，继续工作")</f>
        <v>一水桶放置在东一东门拐角的黑暗角落里，一员工向上走时，未看到角落里的水桶，被绊倒膝盖擦伤，消毒处理休息一会儿后，继续工作</v>
      </c>
      <c r="E382" s="19" t="s">
        <v>1838</v>
      </c>
      <c r="F382" s="20" t="s">
        <v>42</v>
      </c>
      <c r="G382" s="22" t="s">
        <v>64</v>
      </c>
      <c r="H382" s="19" t="s">
        <v>44</v>
      </c>
      <c r="I382" s="19" t="s">
        <v>119</v>
      </c>
      <c r="J382" s="19"/>
      <c r="K382" s="19"/>
      <c r="L382" s="19" t="s">
        <v>99</v>
      </c>
      <c r="M382" s="19" t="s">
        <v>565</v>
      </c>
      <c r="N382" s="19" t="s">
        <v>1839</v>
      </c>
      <c r="O382" s="19" t="s">
        <v>565</v>
      </c>
      <c r="P382" s="19" t="s">
        <v>566</v>
      </c>
      <c r="Q382" s="19" t="s">
        <v>988</v>
      </c>
      <c r="R382" s="19" t="s">
        <v>1840</v>
      </c>
      <c r="S382" s="19"/>
      <c r="T382" s="19" t="s">
        <v>52</v>
      </c>
      <c r="U382" s="19" t="s">
        <v>70</v>
      </c>
      <c r="V382" s="19" t="s">
        <v>71</v>
      </c>
      <c r="W382" s="19" t="s">
        <v>72</v>
      </c>
      <c r="X382" s="19" t="s">
        <v>323</v>
      </c>
      <c r="Y382" s="19"/>
      <c r="Z382" s="19" t="s">
        <v>1841</v>
      </c>
      <c r="AA382" s="19">
        <v>1</v>
      </c>
      <c r="AB382" s="19">
        <v>1</v>
      </c>
      <c r="AC382" s="19" t="s">
        <v>58</v>
      </c>
      <c r="AD382" s="19" t="s">
        <v>566</v>
      </c>
      <c r="AE382" s="19" t="s">
        <v>843</v>
      </c>
      <c r="AF382" s="19"/>
    </row>
    <row r="383" spans="1:34">
      <c r="A383" s="19">
        <v>375</v>
      </c>
      <c r="B383" s="19" t="s">
        <v>843</v>
      </c>
      <c r="C383" s="19" t="s">
        <v>718</v>
      </c>
      <c r="D383" s="19" t="str">
        <f>HYPERLINK("http://henontech.com/fieldsafety/harzard/harzard_show.php?rid=4076&amp;url=harzardrecs.php","南脱硫南草萍处。一蒸气阀门关不严漏蒸气。一名操作人员在此经过时，被喷出的蒸气烫伤腿部。送医治疗后回家休息七天上班。")</f>
        <v>南脱硫南草萍处。一蒸气阀门关不严漏蒸气。一名操作人员在此经过时，被喷出的蒸气烫伤腿部。送医治疗后回家休息七天上班。</v>
      </c>
      <c r="E383" s="19" t="s">
        <v>1842</v>
      </c>
      <c r="F383" s="20" t="s">
        <v>42</v>
      </c>
      <c r="G383" s="22" t="s">
        <v>64</v>
      </c>
      <c r="H383" s="19" t="s">
        <v>44</v>
      </c>
      <c r="I383" s="19" t="s">
        <v>119</v>
      </c>
      <c r="J383" s="19" t="s">
        <v>45</v>
      </c>
      <c r="K383" s="19" t="s">
        <v>108</v>
      </c>
      <c r="L383" s="19" t="s">
        <v>99</v>
      </c>
      <c r="M383" s="19" t="s">
        <v>334</v>
      </c>
      <c r="N383" s="19" t="s">
        <v>539</v>
      </c>
      <c r="O383" s="19" t="s">
        <v>334</v>
      </c>
      <c r="P383" s="19" t="s">
        <v>346</v>
      </c>
      <c r="Q383" s="19" t="s">
        <v>988</v>
      </c>
      <c r="R383" s="19" t="s">
        <v>1843</v>
      </c>
      <c r="S383" s="19"/>
      <c r="T383" s="19" t="s">
        <v>52</v>
      </c>
      <c r="U383" s="19" t="s">
        <v>89</v>
      </c>
      <c r="V383" s="19" t="s">
        <v>71</v>
      </c>
      <c r="W383" s="19" t="s">
        <v>55</v>
      </c>
      <c r="X383" s="19"/>
      <c r="Y383" s="19"/>
      <c r="Z383" s="19" t="s">
        <v>745</v>
      </c>
      <c r="AA383" s="19">
        <v>1</v>
      </c>
      <c r="AB383" s="19">
        <v>1</v>
      </c>
      <c r="AC383" s="19" t="s">
        <v>58</v>
      </c>
      <c r="AD383" s="19" t="s">
        <v>346</v>
      </c>
      <c r="AE383" s="19" t="s">
        <v>888</v>
      </c>
      <c r="AF383" s="19"/>
    </row>
    <row r="384" spans="1:34">
      <c r="A384" s="19">
        <v>376</v>
      </c>
      <c r="B384" s="19" t="s">
        <v>843</v>
      </c>
      <c r="C384" s="19" t="s">
        <v>1844</v>
      </c>
      <c r="D384" s="19" t="str">
        <f>HYPERLINK("http://henontech.com/fieldsafety/harzard/harzard_show.php?rid=4077&amp;url=harzardrecs.php","碳化三楼平台铺板腐蚀，一名操作工经过平台去开关阀门时，不小心右脚踏入腐蚀的铺板上，造成小腿划伤，住院治疗三天，回家休息五天后复工。")</f>
        <v>碳化三楼平台铺板腐蚀，一名操作工经过平台去开关阀门时，不小心右脚踏入腐蚀的铺板上，造成小腿划伤，住院治疗三天，回家休息五天后复工。</v>
      </c>
      <c r="E384" s="19" t="s">
        <v>1845</v>
      </c>
      <c r="F384" s="20" t="s">
        <v>42</v>
      </c>
      <c r="G384" s="21" t="s">
        <v>43</v>
      </c>
      <c r="H384" s="19" t="s">
        <v>44</v>
      </c>
      <c r="I384" s="19"/>
      <c r="J384" s="19" t="s">
        <v>182</v>
      </c>
      <c r="K384" s="19" t="s">
        <v>216</v>
      </c>
      <c r="L384" s="19"/>
      <c r="M384" s="19" t="s">
        <v>241</v>
      </c>
      <c r="N384" s="19" t="s">
        <v>1846</v>
      </c>
      <c r="O384" s="19" t="s">
        <v>241</v>
      </c>
      <c r="P384" s="19" t="s">
        <v>1793</v>
      </c>
      <c r="Q384" s="19" t="s">
        <v>988</v>
      </c>
      <c r="R384" s="19" t="s">
        <v>1847</v>
      </c>
      <c r="S384" s="19"/>
      <c r="T384" s="19" t="s">
        <v>52</v>
      </c>
      <c r="U384" s="19" t="s">
        <v>89</v>
      </c>
      <c r="V384" s="19" t="s">
        <v>71</v>
      </c>
      <c r="W384" s="19" t="s">
        <v>55</v>
      </c>
      <c r="X384" s="19" t="s">
        <v>56</v>
      </c>
      <c r="Y384" s="19" t="s">
        <v>56</v>
      </c>
      <c r="Z384" s="19" t="s">
        <v>1848</v>
      </c>
      <c r="AA384" s="19">
        <v>1</v>
      </c>
      <c r="AB384" s="19">
        <v>1</v>
      </c>
      <c r="AC384" s="19" t="s">
        <v>58</v>
      </c>
      <c r="AD384" s="19" t="s">
        <v>1793</v>
      </c>
      <c r="AE384" s="19" t="s">
        <v>1707</v>
      </c>
      <c r="AF384" s="19"/>
    </row>
    <row r="385" spans="1:34">
      <c r="A385" s="19">
        <v>377</v>
      </c>
      <c r="B385" s="19" t="s">
        <v>843</v>
      </c>
      <c r="C385" s="19" t="s">
        <v>718</v>
      </c>
      <c r="D385" s="19" t="str">
        <f>HYPERLINK("http://henontech.com/fieldsafety/harzard/harzard_show.php?rid=4078&amp;url=harzardrecs.php","初冷器一层爬梯出口处护栏边铁断裂如果一名操作工如初冷器调节温度时可能会被边铁刮伤右肩或扶空 最后去医务室简单处理没有损工")</f>
        <v>初冷器一层爬梯出口处护栏边铁断裂如果一名操作工如初冷器调节温度时可能会被边铁刮伤右肩或扶空 最后去医务室简单处理没有损工</v>
      </c>
      <c r="E385" s="19" t="s">
        <v>1849</v>
      </c>
      <c r="F385" s="20" t="s">
        <v>42</v>
      </c>
      <c r="G385" s="22" t="s">
        <v>64</v>
      </c>
      <c r="H385" s="19" t="s">
        <v>44</v>
      </c>
      <c r="I385" s="19" t="s">
        <v>97</v>
      </c>
      <c r="J385" s="19"/>
      <c r="K385" s="19" t="s">
        <v>216</v>
      </c>
      <c r="L385" s="19" t="s">
        <v>99</v>
      </c>
      <c r="M385" s="19" t="s">
        <v>334</v>
      </c>
      <c r="N385" s="19" t="s">
        <v>1850</v>
      </c>
      <c r="O385" s="19" t="s">
        <v>334</v>
      </c>
      <c r="P385" s="19" t="s">
        <v>346</v>
      </c>
      <c r="Q385" s="19" t="s">
        <v>988</v>
      </c>
      <c r="R385" s="19" t="s">
        <v>1851</v>
      </c>
      <c r="S385" s="19"/>
      <c r="T385" s="19" t="s">
        <v>52</v>
      </c>
      <c r="U385" s="19" t="s">
        <v>70</v>
      </c>
      <c r="V385" s="19" t="s">
        <v>124</v>
      </c>
      <c r="W385" s="19" t="s">
        <v>81</v>
      </c>
      <c r="X385" s="19"/>
      <c r="Y385" s="19"/>
      <c r="Z385" s="19" t="s">
        <v>1852</v>
      </c>
      <c r="AA385" s="19">
        <v>1</v>
      </c>
      <c r="AB385" s="19">
        <v>1</v>
      </c>
      <c r="AC385" s="19" t="s">
        <v>58</v>
      </c>
      <c r="AD385" s="19" t="s">
        <v>346</v>
      </c>
      <c r="AE385" s="19" t="s">
        <v>843</v>
      </c>
      <c r="AF385" s="19"/>
    </row>
    <row r="386" spans="1:34">
      <c r="A386" s="19">
        <v>378</v>
      </c>
      <c r="B386" s="19" t="s">
        <v>843</v>
      </c>
      <c r="C386" s="19" t="s">
        <v>1777</v>
      </c>
      <c r="D386" s="19" t="str">
        <f>HYPERLINK("http://henontech.com/fieldsafety/harzard/harzard_show.php?rid=4079&amp;url=harzardrecs.php","消防水池南边爬梯台阶无防滑条，一名员工在巡检完下爬楼时脚底打滑，从4米高处跌落，造成左脚脚踝骨折，送医治疗，休养100天，造成损工事故。")</f>
        <v>消防水池南边爬梯台阶无防滑条，一名员工在巡检完下爬楼时脚底打滑，从4米高处跌落，造成左脚脚踝骨折，送医治疗，休养100天，造成损工事故。</v>
      </c>
      <c r="E386" s="19" t="s">
        <v>1853</v>
      </c>
      <c r="F386" s="25" t="s">
        <v>828</v>
      </c>
      <c r="G386" s="22" t="s">
        <v>64</v>
      </c>
      <c r="H386" s="19" t="s">
        <v>44</v>
      </c>
      <c r="I386" s="19" t="s">
        <v>119</v>
      </c>
      <c r="J386" s="19" t="s">
        <v>45</v>
      </c>
      <c r="K386" s="19" t="s">
        <v>216</v>
      </c>
      <c r="L386" s="19"/>
      <c r="M386" s="19" t="s">
        <v>46</v>
      </c>
      <c r="N386" s="19" t="s">
        <v>1854</v>
      </c>
      <c r="O386" s="19" t="s">
        <v>46</v>
      </c>
      <c r="P386" s="19" t="s">
        <v>219</v>
      </c>
      <c r="Q386" s="19" t="s">
        <v>1780</v>
      </c>
      <c r="R386" s="19" t="s">
        <v>1855</v>
      </c>
      <c r="S386" s="19" t="s">
        <v>1856</v>
      </c>
      <c r="T386" s="19" t="s">
        <v>52</v>
      </c>
      <c r="U386" s="19" t="s">
        <v>89</v>
      </c>
      <c r="V386" s="19" t="s">
        <v>54</v>
      </c>
      <c r="W386" s="19" t="s">
        <v>72</v>
      </c>
      <c r="X386" s="19" t="s">
        <v>364</v>
      </c>
      <c r="Y386" s="19"/>
      <c r="Z386" s="19" t="s">
        <v>1857</v>
      </c>
      <c r="AA386" s="19">
        <v>1</v>
      </c>
      <c r="AB386" s="19"/>
      <c r="AC386" s="19" t="s">
        <v>103</v>
      </c>
      <c r="AD386" s="19"/>
      <c r="AE386" s="19"/>
      <c r="AF386" s="19"/>
    </row>
    <row r="387" spans="1:34">
      <c r="A387" s="19">
        <v>379</v>
      </c>
      <c r="B387" s="19" t="s">
        <v>843</v>
      </c>
      <c r="C387" s="19" t="s">
        <v>869</v>
      </c>
      <c r="D387" s="19" t="str">
        <f>HYPERLINK("http://henontech.com/fieldsafety/harzard/harzard_show.php?rid=4080&amp;url=harzardrecs.php","化产车间制氮机房铁板未清理，如果一名巡检工巡检时经过，脚掌踢到铁板摔倒，膝盖擦伤，消毒处理休息一会，继续工作。")</f>
        <v>化产车间制氮机房铁板未清理，如果一名巡检工巡检时经过，脚掌踢到铁板摔倒，膝盖擦伤，消毒处理休息一会，继续工作。</v>
      </c>
      <c r="E387" s="19" t="s">
        <v>1858</v>
      </c>
      <c r="F387" s="25" t="s">
        <v>828</v>
      </c>
      <c r="G387" s="22" t="s">
        <v>64</v>
      </c>
      <c r="H387" s="19" t="s">
        <v>44</v>
      </c>
      <c r="I387" s="19" t="s">
        <v>119</v>
      </c>
      <c r="J387" s="19" t="s">
        <v>175</v>
      </c>
      <c r="K387" s="19" t="s">
        <v>170</v>
      </c>
      <c r="L387" s="19" t="s">
        <v>99</v>
      </c>
      <c r="M387" s="19" t="s">
        <v>334</v>
      </c>
      <c r="N387" s="19" t="s">
        <v>300</v>
      </c>
      <c r="O387" s="19" t="s">
        <v>334</v>
      </c>
      <c r="P387" s="19" t="s">
        <v>346</v>
      </c>
      <c r="Q387" s="19" t="s">
        <v>1517</v>
      </c>
      <c r="R387" s="19" t="s">
        <v>1859</v>
      </c>
      <c r="S387" s="19"/>
      <c r="T387" s="19" t="s">
        <v>52</v>
      </c>
      <c r="U387" s="19" t="s">
        <v>70</v>
      </c>
      <c r="V387" s="19" t="s">
        <v>54</v>
      </c>
      <c r="W387" s="19" t="s">
        <v>81</v>
      </c>
      <c r="X387" s="19"/>
      <c r="Y387" s="19"/>
      <c r="Z387" s="19" t="s">
        <v>1860</v>
      </c>
      <c r="AA387" s="19">
        <v>1</v>
      </c>
      <c r="AB387" s="19"/>
      <c r="AC387" s="19" t="s">
        <v>103</v>
      </c>
      <c r="AD387" s="19"/>
      <c r="AE387" s="19"/>
      <c r="AF387" s="19"/>
    </row>
    <row r="388" spans="1:34">
      <c r="A388" s="19">
        <v>380</v>
      </c>
      <c r="B388" s="19" t="s">
        <v>843</v>
      </c>
      <c r="C388" s="19" t="s">
        <v>869</v>
      </c>
      <c r="D388" s="19" t="str">
        <f>HYPERLINK("http://henontech.com/fieldsafety/harzard/harzard_show.php?rid=4081&amp;url=harzardrecs.php","两盐大棚内潜水泵用完没有及时清理，一员工在夜间巡检时经过，被拌倒造成膝盖轻微擦伤，到医务室处理后继续工作。")</f>
        <v>两盐大棚内潜水泵用完没有及时清理，一员工在夜间巡检时经过，被拌倒造成膝盖轻微擦伤，到医务室处理后继续工作。</v>
      </c>
      <c r="E388" s="19" t="s">
        <v>1861</v>
      </c>
      <c r="F388" s="20" t="s">
        <v>42</v>
      </c>
      <c r="G388" s="22" t="s">
        <v>64</v>
      </c>
      <c r="H388" s="19" t="s">
        <v>44</v>
      </c>
      <c r="I388" s="19" t="s">
        <v>119</v>
      </c>
      <c r="J388" s="19"/>
      <c r="K388" s="19" t="s">
        <v>170</v>
      </c>
      <c r="L388" s="19" t="s">
        <v>99</v>
      </c>
      <c r="M388" s="19" t="s">
        <v>334</v>
      </c>
      <c r="N388" s="19" t="s">
        <v>358</v>
      </c>
      <c r="O388" s="19" t="s">
        <v>334</v>
      </c>
      <c r="P388" s="19" t="s">
        <v>346</v>
      </c>
      <c r="Q388" s="19" t="s">
        <v>1517</v>
      </c>
      <c r="R388" s="19" t="s">
        <v>1770</v>
      </c>
      <c r="S388" s="19"/>
      <c r="T388" s="19" t="s">
        <v>52</v>
      </c>
      <c r="U388" s="19" t="s">
        <v>70</v>
      </c>
      <c r="V388" s="19" t="s">
        <v>71</v>
      </c>
      <c r="W388" s="19" t="s">
        <v>72</v>
      </c>
      <c r="X388" s="19"/>
      <c r="Y388" s="19"/>
      <c r="Z388" s="19" t="s">
        <v>1862</v>
      </c>
      <c r="AA388" s="19">
        <v>1</v>
      </c>
      <c r="AB388" s="19">
        <v>1</v>
      </c>
      <c r="AC388" s="19" t="s">
        <v>58</v>
      </c>
      <c r="AD388" s="19" t="s">
        <v>346</v>
      </c>
      <c r="AE388" s="19" t="s">
        <v>819</v>
      </c>
      <c r="AF388" s="19"/>
    </row>
    <row r="389" spans="1:34">
      <c r="A389" s="19">
        <v>381</v>
      </c>
      <c r="B389" s="19" t="s">
        <v>773</v>
      </c>
      <c r="C389" s="19" t="s">
        <v>578</v>
      </c>
      <c r="D389" s="19" t="str">
        <f>HYPERLINK("http://henontech.com/fieldsafety/harzard/harzard_show.php?rid=4082&amp;url=harzardrecs.php","一员工在清投机头下料口料槽时，不慎掉入下料槽中，卡在下料槽出口处，将其及时救出，送医确诊为胸骨骨折，住院30天，回家修养90天")</f>
        <v>一员工在清投机头下料口料槽时，不慎掉入下料槽中，卡在下料槽出口处，将其及时救出，送医确诊为胸骨骨折，住院30天，回家修养90天</v>
      </c>
      <c r="E389" s="19" t="s">
        <v>1863</v>
      </c>
      <c r="F389" s="20" t="s">
        <v>42</v>
      </c>
      <c r="G389" s="22" t="s">
        <v>64</v>
      </c>
      <c r="H389" s="19" t="s">
        <v>44</v>
      </c>
      <c r="I389" s="19" t="s">
        <v>119</v>
      </c>
      <c r="J389" s="19" t="s">
        <v>45</v>
      </c>
      <c r="K389" s="19"/>
      <c r="L389" s="19" t="s">
        <v>99</v>
      </c>
      <c r="M389" s="19" t="s">
        <v>565</v>
      </c>
      <c r="N389" s="19" t="s">
        <v>580</v>
      </c>
      <c r="O389" s="19" t="s">
        <v>565</v>
      </c>
      <c r="P389" s="19" t="s">
        <v>566</v>
      </c>
      <c r="Q389" s="19" t="s">
        <v>926</v>
      </c>
      <c r="R389" s="19" t="s">
        <v>581</v>
      </c>
      <c r="S389" s="19"/>
      <c r="T389" s="19" t="s">
        <v>52</v>
      </c>
      <c r="U389" s="19" t="s">
        <v>89</v>
      </c>
      <c r="V389" s="19" t="s">
        <v>71</v>
      </c>
      <c r="W389" s="19" t="s">
        <v>55</v>
      </c>
      <c r="X389" s="19"/>
      <c r="Y389" s="19"/>
      <c r="Z389" s="19" t="s">
        <v>1864</v>
      </c>
      <c r="AA389" s="19">
        <v>1</v>
      </c>
      <c r="AB389" s="19">
        <v>1</v>
      </c>
      <c r="AC389" s="19" t="s">
        <v>58</v>
      </c>
      <c r="AD389" s="19" t="s">
        <v>566</v>
      </c>
      <c r="AE389" s="19" t="s">
        <v>724</v>
      </c>
      <c r="AF389" s="19"/>
    </row>
    <row r="390" spans="1:34">
      <c r="A390" s="19">
        <v>382</v>
      </c>
      <c r="B390" s="19" t="s">
        <v>773</v>
      </c>
      <c r="C390" s="19" t="s">
        <v>1865</v>
      </c>
      <c r="D390" s="19" t="str">
        <f>HYPERLINK("http://henontech.com/fieldsafety/harzard/harzard_show.php?rid=4083&amp;url=harzardrecs.php","自动包装机热合机未加防护罩一名操作工在操作过程中不慎把右手食指中指挤伤送医救治疗15天在家休养3个月。")</f>
        <v>自动包装机热合机未加防护罩一名操作工在操作过程中不慎把右手食指中指挤伤送医救治疗15天在家休养3个月。</v>
      </c>
      <c r="E390" s="19" t="s">
        <v>1866</v>
      </c>
      <c r="F390" s="20" t="s">
        <v>42</v>
      </c>
      <c r="G390" s="21" t="s">
        <v>43</v>
      </c>
      <c r="H390" s="19" t="s">
        <v>44</v>
      </c>
      <c r="I390" s="19" t="s">
        <v>106</v>
      </c>
      <c r="J390" s="19" t="s">
        <v>45</v>
      </c>
      <c r="K390" s="19" t="s">
        <v>170</v>
      </c>
      <c r="L390" s="19" t="s">
        <v>99</v>
      </c>
      <c r="M390" s="19" t="s">
        <v>241</v>
      </c>
      <c r="N390" s="19" t="s">
        <v>1867</v>
      </c>
      <c r="O390" s="19" t="s">
        <v>241</v>
      </c>
      <c r="P390" s="19" t="s">
        <v>1793</v>
      </c>
      <c r="Q390" s="19" t="s">
        <v>1539</v>
      </c>
      <c r="R390" s="19" t="s">
        <v>1868</v>
      </c>
      <c r="S390" s="19"/>
      <c r="T390" s="19" t="s">
        <v>52</v>
      </c>
      <c r="U390" s="19" t="s">
        <v>89</v>
      </c>
      <c r="V390" s="19" t="s">
        <v>71</v>
      </c>
      <c r="W390" s="19" t="s">
        <v>55</v>
      </c>
      <c r="X390" s="19" t="s">
        <v>56</v>
      </c>
      <c r="Y390" s="19" t="s">
        <v>56</v>
      </c>
      <c r="Z390" s="19" t="s">
        <v>1869</v>
      </c>
      <c r="AA390" s="19">
        <v>1</v>
      </c>
      <c r="AB390" s="19">
        <v>1</v>
      </c>
      <c r="AC390" s="19" t="s">
        <v>58</v>
      </c>
      <c r="AD390" s="19" t="s">
        <v>1793</v>
      </c>
      <c r="AE390" s="19" t="s">
        <v>1707</v>
      </c>
      <c r="AF390" s="19"/>
    </row>
    <row r="391" spans="1:34">
      <c r="A391" s="19">
        <v>383</v>
      </c>
      <c r="B391" s="19" t="s">
        <v>773</v>
      </c>
      <c r="C391" s="19" t="s">
        <v>1579</v>
      </c>
      <c r="D391" s="19" t="str">
        <f>HYPERLINK("http://henontech.com/fieldsafety/harzard/harzard_show.php?rid=4084&amp;url=harzardrecs.php","液氨罐区东管架上电缆桥架盖板松动翘起，有坠落伤人危险")</f>
        <v>液氨罐区东管架上电缆桥架盖板松动翘起，有坠落伤人危险</v>
      </c>
      <c r="E391" s="19" t="s">
        <v>1870</v>
      </c>
      <c r="F391" s="20" t="s">
        <v>42</v>
      </c>
      <c r="G391" s="22" t="s">
        <v>64</v>
      </c>
      <c r="H391" s="19" t="s">
        <v>44</v>
      </c>
      <c r="I391" s="19" t="s">
        <v>97</v>
      </c>
      <c r="J391" s="19" t="s">
        <v>175</v>
      </c>
      <c r="K391" s="19" t="s">
        <v>108</v>
      </c>
      <c r="L391" s="19" t="s">
        <v>99</v>
      </c>
      <c r="M391" s="19" t="s">
        <v>241</v>
      </c>
      <c r="N391" s="19" t="s">
        <v>1516</v>
      </c>
      <c r="O391" s="19" t="s">
        <v>241</v>
      </c>
      <c r="P391" s="19" t="s">
        <v>1793</v>
      </c>
      <c r="Q391" s="19" t="s">
        <v>1282</v>
      </c>
      <c r="R391" s="19" t="s">
        <v>1871</v>
      </c>
      <c r="S391" s="19"/>
      <c r="T391" s="19" t="s">
        <v>52</v>
      </c>
      <c r="U391" s="19" t="s">
        <v>70</v>
      </c>
      <c r="V391" s="19" t="s">
        <v>71</v>
      </c>
      <c r="W391" s="19" t="s">
        <v>72</v>
      </c>
      <c r="X391" s="19" t="s">
        <v>73</v>
      </c>
      <c r="Y391" s="19" t="s">
        <v>73</v>
      </c>
      <c r="Z391" s="19" t="s">
        <v>1872</v>
      </c>
      <c r="AA391" s="19">
        <v>1</v>
      </c>
      <c r="AB391" s="19">
        <v>1</v>
      </c>
      <c r="AC391" s="19" t="s">
        <v>58</v>
      </c>
      <c r="AD391" s="19" t="s">
        <v>1793</v>
      </c>
      <c r="AE391" s="19" t="s">
        <v>819</v>
      </c>
      <c r="AF391" s="19" t="s">
        <v>1873</v>
      </c>
    </row>
    <row r="392" spans="1:34">
      <c r="A392" s="19">
        <v>384</v>
      </c>
      <c r="B392" s="19" t="s">
        <v>773</v>
      </c>
      <c r="C392" s="19" t="s">
        <v>1688</v>
      </c>
      <c r="D392" s="19" t="str">
        <f>HYPERLINK("http://henontech.com/fieldsafety/harzard/harzard_show.php?rid=4086&amp;url=harzardrecs.php","爬梯未安装防滑条，巡检人员下爬梯时脚底打滑，从爬梯上滑落，造成右手骨折，送医院治疗。")</f>
        <v>爬梯未安装防滑条，巡检人员下爬梯时脚底打滑，从爬梯上滑落，造成右手骨折，送医院治疗。</v>
      </c>
      <c r="E392" s="19" t="s">
        <v>1874</v>
      </c>
      <c r="F392" s="23" t="s">
        <v>96</v>
      </c>
      <c r="G392" s="22" t="s">
        <v>64</v>
      </c>
      <c r="H392" s="19" t="s">
        <v>44</v>
      </c>
      <c r="I392" s="19" t="s">
        <v>119</v>
      </c>
      <c r="J392" s="19" t="s">
        <v>45</v>
      </c>
      <c r="K392" s="19" t="s">
        <v>108</v>
      </c>
      <c r="L392" s="19" t="s">
        <v>99</v>
      </c>
      <c r="M392" s="19" t="s">
        <v>663</v>
      </c>
      <c r="N392" s="19" t="s">
        <v>1875</v>
      </c>
      <c r="O392" s="19"/>
      <c r="P392" s="19"/>
      <c r="Q392" s="19"/>
      <c r="R392" s="19" t="s">
        <v>1876</v>
      </c>
      <c r="S392" s="19" t="s">
        <v>1877</v>
      </c>
      <c r="T392" s="19" t="s">
        <v>52</v>
      </c>
      <c r="U392" s="19" t="s">
        <v>70</v>
      </c>
      <c r="V392" s="19" t="s">
        <v>124</v>
      </c>
      <c r="W392" s="19" t="s">
        <v>81</v>
      </c>
      <c r="X392" s="19"/>
      <c r="Y392" s="19"/>
      <c r="Z392" s="19"/>
      <c r="AA392" s="19">
        <v>0</v>
      </c>
      <c r="AB392" s="19"/>
      <c r="AC392" s="19" t="s">
        <v>103</v>
      </c>
      <c r="AD392" s="19"/>
      <c r="AE392" s="19"/>
      <c r="AF392" s="19"/>
    </row>
    <row r="393" spans="1:34">
      <c r="A393" s="19">
        <v>385</v>
      </c>
      <c r="B393" s="19" t="s">
        <v>773</v>
      </c>
      <c r="C393" s="19" t="s">
        <v>981</v>
      </c>
      <c r="D393" s="19" t="str">
        <f>HYPERLINK("http://henontech.com/fieldsafety/harzard/harzard_show.php?rid=4087&amp;url=harzardrecs.php","2#站调节池提升泵流量计穿线管接头裸露，长时间使用，一旦线路磨损破皮，连接在流量计外壳及管线上，操作人员在开、停设备时，造成一名操作人员触电伤亡。")</f>
        <v>2#站调节池提升泵流量计穿线管接头裸露，长时间使用，一旦线路磨损破皮，连接在流量计外壳及管线上，操作人员在开、停设备时，造成一名操作人员触电伤亡。</v>
      </c>
      <c r="E393" s="19" t="s">
        <v>1878</v>
      </c>
      <c r="F393" s="20" t="s">
        <v>42</v>
      </c>
      <c r="G393" s="22" t="s">
        <v>64</v>
      </c>
      <c r="H393" s="19" t="s">
        <v>44</v>
      </c>
      <c r="I393" s="19"/>
      <c r="J393" s="19" t="s">
        <v>231</v>
      </c>
      <c r="K393" s="19" t="s">
        <v>170</v>
      </c>
      <c r="L393" s="19"/>
      <c r="M393" s="19" t="s">
        <v>232</v>
      </c>
      <c r="N393" s="19" t="s">
        <v>1879</v>
      </c>
      <c r="O393" s="19" t="s">
        <v>232</v>
      </c>
      <c r="P393" s="19" t="s">
        <v>234</v>
      </c>
      <c r="Q393" s="19" t="s">
        <v>1282</v>
      </c>
      <c r="R393" s="19" t="s">
        <v>1880</v>
      </c>
      <c r="S393" s="19"/>
      <c r="T393" s="19" t="s">
        <v>52</v>
      </c>
      <c r="U393" s="19" t="s">
        <v>53</v>
      </c>
      <c r="V393" s="19" t="s">
        <v>54</v>
      </c>
      <c r="W393" s="19" t="s">
        <v>55</v>
      </c>
      <c r="X393" s="19" t="s">
        <v>73</v>
      </c>
      <c r="Y393" s="19" t="s">
        <v>73</v>
      </c>
      <c r="Z393" s="19" t="s">
        <v>1881</v>
      </c>
      <c r="AA393" s="19">
        <v>1</v>
      </c>
      <c r="AB393" s="19">
        <v>1</v>
      </c>
      <c r="AC393" s="19" t="s">
        <v>58</v>
      </c>
      <c r="AD393" s="19" t="s">
        <v>234</v>
      </c>
      <c r="AE393" s="19" t="s">
        <v>773</v>
      </c>
      <c r="AF393" s="19"/>
    </row>
    <row r="394" spans="1:34">
      <c r="A394" s="19">
        <v>386</v>
      </c>
      <c r="B394" s="19" t="s">
        <v>773</v>
      </c>
      <c r="C394" s="19" t="s">
        <v>1844</v>
      </c>
      <c r="D394" s="19" t="str">
        <f>HYPERLINK("http://henontech.com/fieldsafety/harzard/harzard_show.php?rid=4088&amp;url=harzardrecs.php","爬梯因靠近凉水塔严重腐蚀，夜间光线不好人员上下爬梯时踏板断裂，造成人员受伤腿部骨折，住院治疗1个月，在家休养2个月复工。")</f>
        <v>爬梯因靠近凉水塔严重腐蚀，夜间光线不好人员上下爬梯时踏板断裂，造成人员受伤腿部骨折，住院治疗1个月，在家休养2个月复工。</v>
      </c>
      <c r="E394" s="19" t="s">
        <v>1882</v>
      </c>
      <c r="F394" s="20" t="s">
        <v>42</v>
      </c>
      <c r="G394" s="22" t="s">
        <v>64</v>
      </c>
      <c r="H394" s="19" t="s">
        <v>44</v>
      </c>
      <c r="I394" s="19"/>
      <c r="J394" s="19" t="s">
        <v>45</v>
      </c>
      <c r="K394" s="19" t="s">
        <v>216</v>
      </c>
      <c r="L394" s="19" t="s">
        <v>99</v>
      </c>
      <c r="M394" s="19" t="s">
        <v>241</v>
      </c>
      <c r="N394" s="19" t="s">
        <v>1883</v>
      </c>
      <c r="O394" s="19" t="s">
        <v>241</v>
      </c>
      <c r="P394" s="19" t="s">
        <v>1516</v>
      </c>
      <c r="Q394" s="19" t="s">
        <v>1539</v>
      </c>
      <c r="R394" s="19" t="s">
        <v>1884</v>
      </c>
      <c r="S394" s="19"/>
      <c r="T394" s="19" t="s">
        <v>52</v>
      </c>
      <c r="U394" s="19" t="s">
        <v>89</v>
      </c>
      <c r="V394" s="19" t="s">
        <v>71</v>
      </c>
      <c r="W394" s="19" t="s">
        <v>55</v>
      </c>
      <c r="X394" s="19" t="s">
        <v>90</v>
      </c>
      <c r="Y394" s="19"/>
      <c r="Z394" s="19" t="s">
        <v>1885</v>
      </c>
      <c r="AA394" s="19">
        <v>1</v>
      </c>
      <c r="AB394" s="19">
        <v>1</v>
      </c>
      <c r="AC394" s="19" t="s">
        <v>58</v>
      </c>
      <c r="AD394" s="19" t="s">
        <v>1516</v>
      </c>
      <c r="AE394" s="19" t="s">
        <v>819</v>
      </c>
      <c r="AF394" s="19" t="s">
        <v>1886</v>
      </c>
    </row>
    <row r="395" spans="1:34" customHeight="1" ht="42">
      <c r="A395" s="19">
        <v>387</v>
      </c>
      <c r="B395" s="19" t="s">
        <v>773</v>
      </c>
      <c r="C395" s="19" t="s">
        <v>1844</v>
      </c>
      <c r="D395" s="19" t="str">
        <f>HYPERLINK("http://henontech.com/fieldsafety/harzard/harzard_show.php?rid=4089&amp;url=harzardrecs.php","爬梯因靠近凉水塔严重腐蚀，夜间光线不好人员上下爬梯时踏板断裂，造成人员受伤腿部骨折，住院治疗1个月，在家休养2个月复工。")</f>
        <v>爬梯因靠近凉水塔严重腐蚀，夜间光线不好人员上下爬梯时踏板断裂，造成人员受伤腿部骨折，住院治疗1个月，在家休养2个月复工。</v>
      </c>
      <c r="E395" s="19" t="s">
        <v>1882</v>
      </c>
      <c r="F395" s="20" t="s">
        <v>42</v>
      </c>
      <c r="G395" s="21" t="s">
        <v>43</v>
      </c>
      <c r="H395" s="19" t="s">
        <v>44</v>
      </c>
      <c r="I395" s="19" t="s">
        <v>532</v>
      </c>
      <c r="J395" s="19" t="s">
        <v>45</v>
      </c>
      <c r="K395" s="19" t="s">
        <v>216</v>
      </c>
      <c r="L395" s="19" t="s">
        <v>252</v>
      </c>
      <c r="M395" s="19" t="s">
        <v>241</v>
      </c>
      <c r="N395" s="19" t="s">
        <v>1883</v>
      </c>
      <c r="O395" s="19" t="s">
        <v>241</v>
      </c>
      <c r="P395" s="19" t="s">
        <v>1516</v>
      </c>
      <c r="Q395" s="19" t="s">
        <v>1517</v>
      </c>
      <c r="R395" s="19" t="s">
        <v>1884</v>
      </c>
      <c r="S395" s="19"/>
      <c r="T395" s="19" t="s">
        <v>52</v>
      </c>
      <c r="U395" s="19" t="s">
        <v>89</v>
      </c>
      <c r="V395" s="19" t="s">
        <v>71</v>
      </c>
      <c r="W395" s="19" t="s">
        <v>55</v>
      </c>
      <c r="X395" s="19" t="s">
        <v>284</v>
      </c>
      <c r="Y395" s="19" t="s">
        <v>284</v>
      </c>
      <c r="Z395" s="19" t="s">
        <v>1887</v>
      </c>
      <c r="AA395" s="19">
        <v>2</v>
      </c>
      <c r="AB395" s="19">
        <v>2</v>
      </c>
      <c r="AC395" s="19" t="s">
        <v>58</v>
      </c>
      <c r="AD395" s="19" t="s">
        <v>1516</v>
      </c>
      <c r="AE395" s="19" t="s">
        <v>819</v>
      </c>
      <c r="AF395" s="19" t="s">
        <v>1888</v>
      </c>
    </row>
    <row r="396" spans="1:34">
      <c r="A396" s="19">
        <v>388</v>
      </c>
      <c r="B396" s="19" t="s">
        <v>773</v>
      </c>
      <c r="C396" s="19" t="s">
        <v>1844</v>
      </c>
      <c r="D396" s="19" t="str">
        <f>HYPERLINK("http://henontech.com/fieldsafety/harzard/harzard_show.php?rid=4092&amp;url=harzardrecs.php","碳化塔水箱检修，塔底周围未拉警戒线，当一名检修工在塔底推水箱时，塔上掉落活板砸伤右脚，送医院救治，住院七天，在家休养十五天。")</f>
        <v>碳化塔水箱检修，塔底周围未拉警戒线，当一名检修工在塔底推水箱时，塔上掉落活板砸伤右脚，送医院救治，住院七天，在家休养十五天。</v>
      </c>
      <c r="E396" s="19" t="s">
        <v>1889</v>
      </c>
      <c r="F396" s="20" t="s">
        <v>42</v>
      </c>
      <c r="G396" s="24" t="s">
        <v>251</v>
      </c>
      <c r="H396" s="19" t="s">
        <v>44</v>
      </c>
      <c r="I396" s="19" t="s">
        <v>97</v>
      </c>
      <c r="J396" s="19" t="s">
        <v>45</v>
      </c>
      <c r="K396" s="19" t="s">
        <v>108</v>
      </c>
      <c r="L396" s="19" t="s">
        <v>99</v>
      </c>
      <c r="M396" s="19" t="s">
        <v>241</v>
      </c>
      <c r="N396" s="19" t="s">
        <v>1890</v>
      </c>
      <c r="O396" s="19" t="s">
        <v>241</v>
      </c>
      <c r="P396" s="19" t="s">
        <v>1793</v>
      </c>
      <c r="Q396" s="19" t="s">
        <v>1282</v>
      </c>
      <c r="R396" s="19" t="s">
        <v>1891</v>
      </c>
      <c r="S396" s="19"/>
      <c r="T396" s="19" t="s">
        <v>52</v>
      </c>
      <c r="U396" s="19" t="s">
        <v>89</v>
      </c>
      <c r="V396" s="19" t="s">
        <v>71</v>
      </c>
      <c r="W396" s="19" t="s">
        <v>55</v>
      </c>
      <c r="X396" s="19" t="s">
        <v>364</v>
      </c>
      <c r="Y396" s="19" t="s">
        <v>364</v>
      </c>
      <c r="Z396" s="19" t="s">
        <v>1892</v>
      </c>
      <c r="AA396" s="19">
        <v>1</v>
      </c>
      <c r="AB396" s="19">
        <v>1</v>
      </c>
      <c r="AC396" s="19" t="s">
        <v>58</v>
      </c>
      <c r="AD396" s="19" t="s">
        <v>1793</v>
      </c>
      <c r="AE396" s="19" t="s">
        <v>773</v>
      </c>
      <c r="AF396" s="19"/>
    </row>
    <row r="397" spans="1:34">
      <c r="A397" s="19">
        <v>389</v>
      </c>
      <c r="B397" s="19" t="s">
        <v>773</v>
      </c>
      <c r="C397" s="19" t="s">
        <v>929</v>
      </c>
      <c r="D397" s="19" t="str">
        <f>HYPERLINK("http://henontech.com/fieldsafety/harzard/harzard_show.php?rid=4093&amp;url=harzardrecs.php","深度脱硫塔30米爬梯处有废弃塑料桶盖，当大风天气废弃桶盖从爬梯处吹落砸到此处巡检的操作工，造成操作工右胳膊砸伤，去医院检查，右胳膊骨头有裂纹，包扎固定后回家休养60天后复工。")</f>
        <v>深度脱硫塔30米爬梯处有废弃塑料桶盖，当大风天气废弃桶盖从爬梯处吹落砸到此处巡检的操作工，造成操作工右胳膊砸伤，去医院检查，右胳膊骨头有裂纹，包扎固定后回家休养60天后复工。</v>
      </c>
      <c r="E397" s="19" t="s">
        <v>1893</v>
      </c>
      <c r="F397" s="20" t="s">
        <v>42</v>
      </c>
      <c r="G397" s="22" t="s">
        <v>64</v>
      </c>
      <c r="H397" s="19" t="s">
        <v>44</v>
      </c>
      <c r="I397" s="19" t="s">
        <v>119</v>
      </c>
      <c r="J397" s="19" t="s">
        <v>45</v>
      </c>
      <c r="K397" s="19" t="s">
        <v>108</v>
      </c>
      <c r="L397" s="19" t="s">
        <v>99</v>
      </c>
      <c r="M397" s="19" t="s">
        <v>334</v>
      </c>
      <c r="N397" s="19" t="s">
        <v>1894</v>
      </c>
      <c r="O397" s="19" t="s">
        <v>334</v>
      </c>
      <c r="P397" s="19" t="s">
        <v>346</v>
      </c>
      <c r="Q397" s="19" t="s">
        <v>1517</v>
      </c>
      <c r="R397" s="19" t="s">
        <v>1895</v>
      </c>
      <c r="S397" s="19"/>
      <c r="T397" s="19" t="s">
        <v>52</v>
      </c>
      <c r="U397" s="19" t="s">
        <v>89</v>
      </c>
      <c r="V397" s="19" t="s">
        <v>71</v>
      </c>
      <c r="W397" s="19" t="s">
        <v>55</v>
      </c>
      <c r="X397" s="19"/>
      <c r="Y397" s="19"/>
      <c r="Z397" s="19" t="s">
        <v>919</v>
      </c>
      <c r="AA397" s="19">
        <v>1</v>
      </c>
      <c r="AB397" s="19">
        <v>1</v>
      </c>
      <c r="AC397" s="19" t="s">
        <v>58</v>
      </c>
      <c r="AD397" s="19" t="s">
        <v>346</v>
      </c>
      <c r="AE397" s="19" t="s">
        <v>819</v>
      </c>
      <c r="AF397" s="19"/>
    </row>
    <row r="398" spans="1:34">
      <c r="A398" s="19">
        <v>390</v>
      </c>
      <c r="B398" s="19" t="s">
        <v>773</v>
      </c>
      <c r="C398" s="19" t="s">
        <v>152</v>
      </c>
      <c r="D398" s="19" t="str">
        <f>HYPERLINK("http://henontech.com/fieldsafety/harzard/harzard_show.php?rid=4094&amp;url=harzardrecs.php","环境除尘二层刮板机无跨越爬梯，一名巡检人员在跨越刮板机时，脚底不甚打滑，身体前倾头部与水泥墩碰撞，送医治疗，抢救无效死亡。")</f>
        <v>环境除尘二层刮板机无跨越爬梯，一名巡检人员在跨越刮板机时，脚底不甚打滑，身体前倾头部与水泥墩碰撞，送医治疗，抢救无效死亡。</v>
      </c>
      <c r="E398" s="19" t="s">
        <v>1896</v>
      </c>
      <c r="F398" s="23" t="s">
        <v>96</v>
      </c>
      <c r="G398" s="22" t="s">
        <v>64</v>
      </c>
      <c r="H398" s="19" t="s">
        <v>44</v>
      </c>
      <c r="I398" s="19"/>
      <c r="J398" s="19" t="s">
        <v>182</v>
      </c>
      <c r="K398" s="19"/>
      <c r="L398" s="19"/>
      <c r="M398" s="19" t="s">
        <v>46</v>
      </c>
      <c r="N398" s="19" t="s">
        <v>1897</v>
      </c>
      <c r="O398" s="19"/>
      <c r="P398" s="19"/>
      <c r="Q398" s="19"/>
      <c r="R398" s="19" t="s">
        <v>1898</v>
      </c>
      <c r="S398" s="19" t="s">
        <v>1899</v>
      </c>
      <c r="T398" s="19" t="s">
        <v>52</v>
      </c>
      <c r="U398" s="19" t="s">
        <v>53</v>
      </c>
      <c r="V398" s="19" t="s">
        <v>71</v>
      </c>
      <c r="W398" s="19" t="s">
        <v>116</v>
      </c>
      <c r="X398" s="19"/>
      <c r="Y398" s="19"/>
      <c r="Z398" s="19"/>
      <c r="AA398" s="19">
        <v>0</v>
      </c>
      <c r="AB398" s="19"/>
      <c r="AC398" s="19" t="s">
        <v>103</v>
      </c>
      <c r="AD398" s="19"/>
      <c r="AE398" s="19"/>
      <c r="AF398" s="19"/>
    </row>
    <row r="399" spans="1:34" customHeight="1" ht="42">
      <c r="A399" s="19">
        <v>391</v>
      </c>
      <c r="B399" s="19" t="s">
        <v>773</v>
      </c>
      <c r="C399" s="19" t="s">
        <v>563</v>
      </c>
      <c r="D399" s="19" t="str">
        <f>HYPERLINK("http://henontech.com/fieldsafety/harzard/harzard_show.php?rid=4099&amp;url=harzardrecs.php","工具放在电缆处，一操作工拿工具时，被电击伤手臂，住院治疗15天")</f>
        <v>工具放在电缆处，一操作工拿工具时，被电击伤手臂，住院治疗15天</v>
      </c>
      <c r="E399" s="19" t="s">
        <v>1900</v>
      </c>
      <c r="F399" s="20" t="s">
        <v>42</v>
      </c>
      <c r="G399" s="21" t="s">
        <v>43</v>
      </c>
      <c r="H399" s="19" t="s">
        <v>44</v>
      </c>
      <c r="I399" s="19" t="s">
        <v>97</v>
      </c>
      <c r="J399" s="19" t="s">
        <v>231</v>
      </c>
      <c r="K399" s="19" t="s">
        <v>170</v>
      </c>
      <c r="L399" s="19" t="s">
        <v>99</v>
      </c>
      <c r="M399" s="19" t="s">
        <v>565</v>
      </c>
      <c r="N399" s="19" t="s">
        <v>1901</v>
      </c>
      <c r="O399" s="19" t="s">
        <v>565</v>
      </c>
      <c r="P399" s="19" t="s">
        <v>633</v>
      </c>
      <c r="Q399" s="19" t="s">
        <v>1166</v>
      </c>
      <c r="R399" s="19" t="s">
        <v>1902</v>
      </c>
      <c r="S399" s="19"/>
      <c r="T399" s="19" t="s">
        <v>52</v>
      </c>
      <c r="U399" s="19" t="s">
        <v>89</v>
      </c>
      <c r="V399" s="19" t="s">
        <v>71</v>
      </c>
      <c r="W399" s="19" t="s">
        <v>55</v>
      </c>
      <c r="X399" s="19"/>
      <c r="Y399" s="19"/>
      <c r="Z399" s="19" t="s">
        <v>1903</v>
      </c>
      <c r="AA399" s="19">
        <v>2</v>
      </c>
      <c r="AB399" s="19">
        <v>2</v>
      </c>
      <c r="AC399" s="19" t="s">
        <v>58</v>
      </c>
      <c r="AD399" s="19" t="s">
        <v>633</v>
      </c>
      <c r="AE399" s="19" t="s">
        <v>732</v>
      </c>
      <c r="AF399" s="19"/>
    </row>
    <row r="400" spans="1:34">
      <c r="A400" s="19">
        <v>392</v>
      </c>
      <c r="B400" s="19" t="s">
        <v>773</v>
      </c>
      <c r="C400" s="19" t="s">
        <v>152</v>
      </c>
      <c r="D400" s="19" t="str">
        <f>HYPERLINK("http://henontech.com/fieldsafety/harzard/harzard_show.php?rid=4101&amp;url=harzardrecs.php","锅炉给水泵房西侧电缆桥架盖板未固定，一名巡检人员从此处经过时，电缆盖板从五米高处掉落，砸中左肩，造成左肩骨折，送医治疗。，休养100天。")</f>
        <v>锅炉给水泵房西侧电缆桥架盖板未固定，一名巡检人员从此处经过时，电缆盖板从五米高处掉落，砸中左肩，造成左肩骨折，送医治疗。，休养100天。</v>
      </c>
      <c r="E400" s="19" t="s">
        <v>1904</v>
      </c>
      <c r="F400" s="25" t="s">
        <v>828</v>
      </c>
      <c r="G400" s="22" t="s">
        <v>64</v>
      </c>
      <c r="H400" s="19" t="s">
        <v>44</v>
      </c>
      <c r="I400" s="19" t="s">
        <v>119</v>
      </c>
      <c r="J400" s="19" t="s">
        <v>45</v>
      </c>
      <c r="K400" s="19" t="s">
        <v>108</v>
      </c>
      <c r="L400" s="19" t="s">
        <v>99</v>
      </c>
      <c r="M400" s="19" t="s">
        <v>46</v>
      </c>
      <c r="N400" s="19" t="s">
        <v>442</v>
      </c>
      <c r="O400" s="19" t="s">
        <v>46</v>
      </c>
      <c r="P400" s="19" t="s">
        <v>154</v>
      </c>
      <c r="Q400" s="19" t="s">
        <v>1780</v>
      </c>
      <c r="R400" s="19" t="s">
        <v>1905</v>
      </c>
      <c r="S400" s="19" t="s">
        <v>1906</v>
      </c>
      <c r="T400" s="19" t="s">
        <v>52</v>
      </c>
      <c r="U400" s="19" t="s">
        <v>89</v>
      </c>
      <c r="V400" s="19" t="s">
        <v>54</v>
      </c>
      <c r="W400" s="19" t="s">
        <v>72</v>
      </c>
      <c r="X400" s="19" t="s">
        <v>73</v>
      </c>
      <c r="Y400" s="19"/>
      <c r="Z400" s="19" t="s">
        <v>1907</v>
      </c>
      <c r="AA400" s="19">
        <v>1</v>
      </c>
      <c r="AB400" s="19"/>
      <c r="AC400" s="19" t="s">
        <v>103</v>
      </c>
      <c r="AD400" s="19"/>
      <c r="AE400" s="19"/>
      <c r="AF400" s="19"/>
    </row>
    <row r="401" spans="1:34">
      <c r="A401" s="19">
        <v>393</v>
      </c>
      <c r="B401" s="19" t="s">
        <v>773</v>
      </c>
      <c r="C401" s="19" t="s">
        <v>1777</v>
      </c>
      <c r="D401" s="19" t="str">
        <f>HYPERLINK("http://henontech.com/fieldsafety/harzard/harzard_show.php?rid=4102&amp;url=harzardrecs.php","循环水至消防水池放水管线跨越桥架腐蚀严重、断裂，桥架距离地面1米，一名巡检人员巡检过程中，踩踏桥架时，桥架突然整体断裂，人员跌落，左臂碰在水泥地面上，造成左臂骨裂，送医治疗。")</f>
        <v>循环水至消防水池放水管线跨越桥架腐蚀严重、断裂，桥架距离地面1米，一名巡检人员巡检过程中，踩踏桥架时，桥架突然整体断裂，人员跌落，左臂碰在水泥地面上，造成左臂骨裂，送医治疗。</v>
      </c>
      <c r="E401" s="19" t="s">
        <v>1908</v>
      </c>
      <c r="F401" s="25" t="s">
        <v>828</v>
      </c>
      <c r="G401" s="22" t="s">
        <v>64</v>
      </c>
      <c r="H401" s="19" t="s">
        <v>44</v>
      </c>
      <c r="I401" s="19" t="s">
        <v>119</v>
      </c>
      <c r="J401" s="19" t="s">
        <v>45</v>
      </c>
      <c r="K401" s="19" t="s">
        <v>108</v>
      </c>
      <c r="L401" s="19" t="s">
        <v>99</v>
      </c>
      <c r="M401" s="19" t="s">
        <v>46</v>
      </c>
      <c r="N401" s="19" t="s">
        <v>109</v>
      </c>
      <c r="O401" s="19" t="s">
        <v>46</v>
      </c>
      <c r="P401" s="19" t="s">
        <v>154</v>
      </c>
      <c r="Q401" s="19" t="s">
        <v>1780</v>
      </c>
      <c r="R401" s="19" t="s">
        <v>1909</v>
      </c>
      <c r="S401" s="19" t="s">
        <v>1910</v>
      </c>
      <c r="T401" s="19" t="s">
        <v>52</v>
      </c>
      <c r="U401" s="19" t="s">
        <v>89</v>
      </c>
      <c r="V401" s="19" t="s">
        <v>54</v>
      </c>
      <c r="W401" s="19" t="s">
        <v>72</v>
      </c>
      <c r="X401" s="19" t="s">
        <v>73</v>
      </c>
      <c r="Y401" s="19"/>
      <c r="Z401" s="19" t="s">
        <v>1911</v>
      </c>
      <c r="AA401" s="19">
        <v>1</v>
      </c>
      <c r="AB401" s="19"/>
      <c r="AC401" s="19" t="s">
        <v>103</v>
      </c>
      <c r="AD401" s="19"/>
      <c r="AE401" s="19"/>
      <c r="AF401" s="19"/>
    </row>
    <row r="402" spans="1:34" customHeight="1" ht="42">
      <c r="A402" s="19">
        <v>394</v>
      </c>
      <c r="B402" s="19" t="s">
        <v>773</v>
      </c>
      <c r="C402" s="19" t="s">
        <v>563</v>
      </c>
      <c r="D402" s="19" t="str">
        <f>HYPERLINK("http://henontech.com/fieldsafety/harzard/harzard_show.php?rid=4103&amp;url=harzardrecs.php","东二斜桥护栏缺失，一操作工巡检时，衣服卷入导致右手臂挤伤，送医救治确诊骨折，住院20天，在家修养100天康复，造成损工")</f>
        <v>东二斜桥护栏缺失，一操作工巡检时，衣服卷入导致右手臂挤伤，送医救治确诊骨折，住院20天，在家修养100天康复，造成损工</v>
      </c>
      <c r="E402" s="19" t="s">
        <v>1912</v>
      </c>
      <c r="F402" s="20" t="s">
        <v>42</v>
      </c>
      <c r="G402" s="21" t="s">
        <v>43</v>
      </c>
      <c r="H402" s="19" t="s">
        <v>44</v>
      </c>
      <c r="I402" s="19" t="s">
        <v>97</v>
      </c>
      <c r="J402" s="19" t="s">
        <v>182</v>
      </c>
      <c r="K402" s="19" t="s">
        <v>170</v>
      </c>
      <c r="L402" s="19" t="s">
        <v>177</v>
      </c>
      <c r="M402" s="19" t="s">
        <v>565</v>
      </c>
      <c r="N402" s="19" t="s">
        <v>1913</v>
      </c>
      <c r="O402" s="19" t="s">
        <v>565</v>
      </c>
      <c r="P402" s="19" t="s">
        <v>633</v>
      </c>
      <c r="Q402" s="19" t="s">
        <v>1166</v>
      </c>
      <c r="R402" s="19" t="s">
        <v>1914</v>
      </c>
      <c r="S402" s="19"/>
      <c r="T402" s="19" t="s">
        <v>52</v>
      </c>
      <c r="U402" s="19" t="s">
        <v>89</v>
      </c>
      <c r="V402" s="19" t="s">
        <v>71</v>
      </c>
      <c r="W402" s="19" t="s">
        <v>55</v>
      </c>
      <c r="X402" s="19" t="s">
        <v>73</v>
      </c>
      <c r="Y402" s="19" t="s">
        <v>73</v>
      </c>
      <c r="Z402" s="19" t="s">
        <v>1915</v>
      </c>
      <c r="AA402" s="19">
        <v>2</v>
      </c>
      <c r="AB402" s="19">
        <v>2</v>
      </c>
      <c r="AC402" s="19" t="s">
        <v>58</v>
      </c>
      <c r="AD402" s="19" t="s">
        <v>633</v>
      </c>
      <c r="AE402" s="19" t="s">
        <v>732</v>
      </c>
      <c r="AF402" s="19"/>
    </row>
    <row r="403" spans="1:34">
      <c r="A403" s="19">
        <v>395</v>
      </c>
      <c r="B403" s="19" t="s">
        <v>773</v>
      </c>
      <c r="C403" s="19" t="s">
        <v>1808</v>
      </c>
      <c r="D403" s="19" t="str">
        <f>HYPERLINK("http://henontech.com/fieldsafety/harzard/harzard_show.php?rid=4104&amp;url=harzardrecs.php","通往5号减温减压的楼梯台阶无防滑条，爬梯陡高，一名员工巡检完设备下爬梯过程中，脚底打滑，不慎从3米高处跌落地面，送医治疗，经检查左脚踝扭伤，休养7天。")</f>
        <v>通往5号减温减压的楼梯台阶无防滑条，爬梯陡高，一名员工巡检完设备下爬梯过程中，脚底打滑，不慎从3米高处跌落地面，送医治疗，经检查左脚踝扭伤，休养7天。</v>
      </c>
      <c r="E403" s="19" t="s">
        <v>1916</v>
      </c>
      <c r="F403" s="25" t="s">
        <v>828</v>
      </c>
      <c r="G403" s="22" t="s">
        <v>64</v>
      </c>
      <c r="H403" s="19" t="s">
        <v>44</v>
      </c>
      <c r="I403" s="19" t="s">
        <v>119</v>
      </c>
      <c r="J403" s="19" t="s">
        <v>182</v>
      </c>
      <c r="K403" s="19" t="s">
        <v>170</v>
      </c>
      <c r="L403" s="19" t="s">
        <v>99</v>
      </c>
      <c r="M403" s="19" t="s">
        <v>46</v>
      </c>
      <c r="N403" s="19" t="s">
        <v>1917</v>
      </c>
      <c r="O403" s="19" t="s">
        <v>46</v>
      </c>
      <c r="P403" s="19" t="s">
        <v>154</v>
      </c>
      <c r="Q403" s="19" t="s">
        <v>1780</v>
      </c>
      <c r="R403" s="19" t="s">
        <v>1918</v>
      </c>
      <c r="S403" s="19" t="s">
        <v>1919</v>
      </c>
      <c r="T403" s="19" t="s">
        <v>52</v>
      </c>
      <c r="U403" s="19" t="s">
        <v>89</v>
      </c>
      <c r="V403" s="19" t="s">
        <v>54</v>
      </c>
      <c r="W403" s="19" t="s">
        <v>72</v>
      </c>
      <c r="X403" s="19" t="s">
        <v>90</v>
      </c>
      <c r="Y403" s="19"/>
      <c r="Z403" s="19" t="s">
        <v>1920</v>
      </c>
      <c r="AA403" s="19">
        <v>1</v>
      </c>
      <c r="AB403" s="19"/>
      <c r="AC403" s="19" t="s">
        <v>103</v>
      </c>
      <c r="AD403" s="19"/>
      <c r="AE403" s="19"/>
      <c r="AF403" s="19"/>
    </row>
    <row r="404" spans="1:34">
      <c r="A404" s="19">
        <v>396</v>
      </c>
      <c r="B404" s="19" t="s">
        <v>1707</v>
      </c>
      <c r="C404" s="19" t="s">
        <v>803</v>
      </c>
      <c r="D404" s="19" t="str">
        <f>HYPERLINK("http://henontech.com/fieldsafety/harzard/harzard_show.php?rid=4107&amp;url=harzardrecs.php","南循环槽护栏破损，如果巡检人员从此处经过，被破损的护栏意外刮伤")</f>
        <v>南循环槽护栏破损，如果巡检人员从此处经过，被破损的护栏意外刮伤</v>
      </c>
      <c r="E404" s="19" t="s">
        <v>1921</v>
      </c>
      <c r="F404" s="20" t="s">
        <v>42</v>
      </c>
      <c r="G404" s="22" t="s">
        <v>64</v>
      </c>
      <c r="H404" s="19" t="s">
        <v>44</v>
      </c>
      <c r="I404" s="19"/>
      <c r="J404" s="19" t="s">
        <v>45</v>
      </c>
      <c r="K404" s="19"/>
      <c r="L404" s="19"/>
      <c r="M404" s="19" t="s">
        <v>334</v>
      </c>
      <c r="N404" s="19" t="s">
        <v>1922</v>
      </c>
      <c r="O404" s="19" t="s">
        <v>334</v>
      </c>
      <c r="P404" s="19" t="s">
        <v>346</v>
      </c>
      <c r="Q404" s="19" t="s">
        <v>1517</v>
      </c>
      <c r="R404" s="19" t="s">
        <v>1923</v>
      </c>
      <c r="S404" s="19"/>
      <c r="T404" s="19" t="s">
        <v>52</v>
      </c>
      <c r="U404" s="19" t="s">
        <v>70</v>
      </c>
      <c r="V404" s="19" t="s">
        <v>71</v>
      </c>
      <c r="W404" s="19" t="s">
        <v>72</v>
      </c>
      <c r="X404" s="19"/>
      <c r="Y404" s="19"/>
      <c r="Z404" s="19" t="s">
        <v>1924</v>
      </c>
      <c r="AA404" s="19">
        <v>1</v>
      </c>
      <c r="AB404" s="19">
        <v>1</v>
      </c>
      <c r="AC404" s="19" t="s">
        <v>58</v>
      </c>
      <c r="AD404" s="19" t="s">
        <v>346</v>
      </c>
      <c r="AE404" s="19" t="s">
        <v>888</v>
      </c>
      <c r="AF404" s="19"/>
    </row>
    <row r="405" spans="1:34">
      <c r="A405" s="19">
        <v>397</v>
      </c>
      <c r="B405" s="19" t="s">
        <v>1707</v>
      </c>
      <c r="C405" s="19" t="s">
        <v>351</v>
      </c>
      <c r="D405" s="19" t="str">
        <f>HYPERLINK("http://henontech.com/fieldsafety/harzard/harzard_show.php?rid=4108&amp;url=harzardrecs.php","南脱硫西侧护栏处有一废弃铁件，一名操作人员在夜班巡检经过该处时，如果现场视线较差，操作人员辩识不到位，被铁件绊倒，造成一人右手及肘部轻微擦伤，简单处理后不影响工作。")</f>
        <v>南脱硫西侧护栏处有一废弃铁件，一名操作人员在夜班巡检经过该处时，如果现场视线较差，操作人员辩识不到位，被铁件绊倒，造成一人右手及肘部轻微擦伤，简单处理后不影响工作。</v>
      </c>
      <c r="E405" s="19" t="s">
        <v>1925</v>
      </c>
      <c r="F405" s="20" t="s">
        <v>42</v>
      </c>
      <c r="G405" s="22" t="s">
        <v>64</v>
      </c>
      <c r="H405" s="19" t="s">
        <v>44</v>
      </c>
      <c r="I405" s="19" t="s">
        <v>119</v>
      </c>
      <c r="J405" s="19" t="s">
        <v>175</v>
      </c>
      <c r="K405" s="19" t="s">
        <v>108</v>
      </c>
      <c r="L405" s="19" t="s">
        <v>99</v>
      </c>
      <c r="M405" s="19" t="s">
        <v>334</v>
      </c>
      <c r="N405" s="19" t="s">
        <v>471</v>
      </c>
      <c r="O405" s="19" t="s">
        <v>334</v>
      </c>
      <c r="P405" s="19" t="s">
        <v>346</v>
      </c>
      <c r="Q405" s="19" t="s">
        <v>1517</v>
      </c>
      <c r="R405" s="19" t="s">
        <v>1926</v>
      </c>
      <c r="S405" s="19"/>
      <c r="T405" s="19" t="s">
        <v>52</v>
      </c>
      <c r="U405" s="19" t="s">
        <v>70</v>
      </c>
      <c r="V405" s="19" t="s">
        <v>71</v>
      </c>
      <c r="W405" s="19" t="s">
        <v>72</v>
      </c>
      <c r="X405" s="19"/>
      <c r="Y405" s="19"/>
      <c r="Z405" s="19" t="s">
        <v>1927</v>
      </c>
      <c r="AA405" s="19">
        <v>1</v>
      </c>
      <c r="AB405" s="19">
        <v>1</v>
      </c>
      <c r="AC405" s="19" t="s">
        <v>58</v>
      </c>
      <c r="AD405" s="19" t="s">
        <v>346</v>
      </c>
      <c r="AE405" s="19" t="s">
        <v>819</v>
      </c>
      <c r="AF405" s="19"/>
    </row>
    <row r="406" spans="1:34">
      <c r="A406" s="19">
        <v>398</v>
      </c>
      <c r="B406" s="19" t="s">
        <v>1707</v>
      </c>
      <c r="C406" s="19" t="s">
        <v>491</v>
      </c>
      <c r="D406" s="19" t="str">
        <f>HYPERLINK("http://henontech.com/fieldsafety/harzard/harzard_show.php?rid=4109&amp;url=harzardrecs.php","南风机南侧护栏处有铁件等杂物，如果一名操作人员夜班巡检经过此处时，因视线不好辩识不到位，被铁件绊倒造成一人右手部轻度擦伤，经简单包扎后不影响正常工作。")</f>
        <v>南风机南侧护栏处有铁件等杂物，如果一名操作人员夜班巡检经过此处时，因视线不好辩识不到位，被铁件绊倒造成一人右手部轻度擦伤，经简单包扎后不影响正常工作。</v>
      </c>
      <c r="E406" s="19" t="s">
        <v>1928</v>
      </c>
      <c r="F406" s="20" t="s">
        <v>42</v>
      </c>
      <c r="G406" s="22" t="s">
        <v>64</v>
      </c>
      <c r="H406" s="19" t="s">
        <v>44</v>
      </c>
      <c r="I406" s="19" t="s">
        <v>119</v>
      </c>
      <c r="J406" s="19" t="s">
        <v>175</v>
      </c>
      <c r="K406" s="19" t="s">
        <v>108</v>
      </c>
      <c r="L406" s="19" t="s">
        <v>99</v>
      </c>
      <c r="M406" s="19" t="s">
        <v>334</v>
      </c>
      <c r="N406" s="19" t="s">
        <v>1929</v>
      </c>
      <c r="O406" s="19" t="s">
        <v>334</v>
      </c>
      <c r="P406" s="19" t="s">
        <v>346</v>
      </c>
      <c r="Q406" s="19" t="s">
        <v>1517</v>
      </c>
      <c r="R406" s="19" t="s">
        <v>1930</v>
      </c>
      <c r="S406" s="19"/>
      <c r="T406" s="19" t="s">
        <v>52</v>
      </c>
      <c r="U406" s="19" t="s">
        <v>70</v>
      </c>
      <c r="V406" s="19" t="s">
        <v>71</v>
      </c>
      <c r="W406" s="19" t="s">
        <v>72</v>
      </c>
      <c r="X406" s="19"/>
      <c r="Y406" s="19"/>
      <c r="Z406" s="19" t="s">
        <v>919</v>
      </c>
      <c r="AA406" s="19">
        <v>1</v>
      </c>
      <c r="AB406" s="19">
        <v>1</v>
      </c>
      <c r="AC406" s="19" t="s">
        <v>58</v>
      </c>
      <c r="AD406" s="19" t="s">
        <v>346</v>
      </c>
      <c r="AE406" s="19" t="s">
        <v>724</v>
      </c>
      <c r="AF406" s="19"/>
    </row>
    <row r="407" spans="1:34">
      <c r="A407" s="19">
        <v>399</v>
      </c>
      <c r="B407" s="19" t="s">
        <v>1707</v>
      </c>
      <c r="C407" s="19" t="s">
        <v>563</v>
      </c>
      <c r="D407" s="19" t="str">
        <f>HYPERLINK("http://henontech.com/fieldsafety/harzard/harzard_show.php?rid=4112&amp;url=harzardrecs.php","东四东门安全出口锁闭，发生突发状况时，疏散不及时，致使一人重伤，送医院抢救无效，死亡。")</f>
        <v>东四东门安全出口锁闭，发生突发状况时，疏散不及时，致使一人重伤，送医院抢救无效，死亡。</v>
      </c>
      <c r="E407" s="19" t="s">
        <v>735</v>
      </c>
      <c r="F407" s="20" t="s">
        <v>42</v>
      </c>
      <c r="G407" s="24" t="s">
        <v>251</v>
      </c>
      <c r="H407" s="19" t="s">
        <v>44</v>
      </c>
      <c r="I407" s="19"/>
      <c r="J407" s="19"/>
      <c r="K407" s="19"/>
      <c r="L407" s="19" t="s">
        <v>99</v>
      </c>
      <c r="M407" s="19" t="s">
        <v>565</v>
      </c>
      <c r="N407" s="19" t="s">
        <v>1931</v>
      </c>
      <c r="O407" s="19" t="s">
        <v>565</v>
      </c>
      <c r="P407" s="19" t="s">
        <v>566</v>
      </c>
      <c r="Q407" s="19" t="s">
        <v>1539</v>
      </c>
      <c r="R407" s="19" t="s">
        <v>1932</v>
      </c>
      <c r="S407" s="19"/>
      <c r="T407" s="19" t="s">
        <v>52</v>
      </c>
      <c r="U407" s="19" t="s">
        <v>53</v>
      </c>
      <c r="V407" s="19" t="s">
        <v>71</v>
      </c>
      <c r="W407" s="19" t="s">
        <v>116</v>
      </c>
      <c r="X407" s="19" t="s">
        <v>1933</v>
      </c>
      <c r="Y407" s="19"/>
      <c r="Z407" s="19" t="s">
        <v>1934</v>
      </c>
      <c r="AA407" s="19">
        <v>1</v>
      </c>
      <c r="AB407" s="19">
        <v>1</v>
      </c>
      <c r="AC407" s="19" t="s">
        <v>58</v>
      </c>
      <c r="AD407" s="19" t="s">
        <v>566</v>
      </c>
      <c r="AE407" s="19" t="s">
        <v>1707</v>
      </c>
      <c r="AF407" s="19"/>
    </row>
    <row r="408" spans="1:34">
      <c r="A408" s="19">
        <v>400</v>
      </c>
      <c r="B408" s="19" t="s">
        <v>1707</v>
      </c>
      <c r="C408" s="19" t="s">
        <v>563</v>
      </c>
      <c r="D408" s="19" t="str">
        <f>HYPERLINK("http://henontech.com/fieldsafety/harzard/harzard_show.php?rid=4115&amp;url=harzardrecs.php","下水道盖板缺失，一名职工在行走时，不慎掉入下水道受伤，送医检查，脚踝骨轻微伤，回家休养五天复工")</f>
        <v>下水道盖板缺失，一名职工在行走时，不慎掉入下水道受伤，送医检查，脚踝骨轻微伤，回家休养五天复工</v>
      </c>
      <c r="E408" s="19" t="s">
        <v>1935</v>
      </c>
      <c r="F408" s="20" t="s">
        <v>42</v>
      </c>
      <c r="G408" s="21" t="s">
        <v>43</v>
      </c>
      <c r="H408" s="19" t="s">
        <v>44</v>
      </c>
      <c r="I408" s="19" t="s">
        <v>119</v>
      </c>
      <c r="J408" s="19" t="s">
        <v>45</v>
      </c>
      <c r="K408" s="19" t="s">
        <v>108</v>
      </c>
      <c r="L408" s="19" t="s">
        <v>99</v>
      </c>
      <c r="M408" s="19" t="s">
        <v>565</v>
      </c>
      <c r="N408" s="19" t="s">
        <v>1936</v>
      </c>
      <c r="O408" s="19" t="s">
        <v>565</v>
      </c>
      <c r="P408" s="19" t="s">
        <v>627</v>
      </c>
      <c r="Q408" s="19" t="s">
        <v>819</v>
      </c>
      <c r="R408" s="19" t="s">
        <v>1937</v>
      </c>
      <c r="S408" s="19" t="s">
        <v>1938</v>
      </c>
      <c r="T408" s="19" t="s">
        <v>52</v>
      </c>
      <c r="U408" s="19" t="s">
        <v>70</v>
      </c>
      <c r="V408" s="19" t="s">
        <v>54</v>
      </c>
      <c r="W408" s="19" t="s">
        <v>81</v>
      </c>
      <c r="X408" s="19"/>
      <c r="Y408" s="19"/>
      <c r="Z408" s="19" t="s">
        <v>1831</v>
      </c>
      <c r="AA408" s="19">
        <v>1</v>
      </c>
      <c r="AB408" s="19">
        <v>1</v>
      </c>
      <c r="AC408" s="19" t="s">
        <v>58</v>
      </c>
      <c r="AD408" s="19" t="s">
        <v>627</v>
      </c>
      <c r="AE408" s="19" t="s">
        <v>1707</v>
      </c>
      <c r="AF408" s="19"/>
    </row>
    <row r="409" spans="1:34">
      <c r="A409" s="19">
        <v>401</v>
      </c>
      <c r="B409" s="19" t="s">
        <v>1707</v>
      </c>
      <c r="C409" s="19" t="s">
        <v>152</v>
      </c>
      <c r="D409" s="19" t="str">
        <f>HYPERLINK("http://henontech.com/fieldsafety/harzard/harzard_show.php?rid=4116&amp;url=harzardrecs.php","防护措施未落实到位，干熄焦区域东地面除尘平台护板开焊，如果操作工巡检过程中不小心踩踏，导致操作工跌落。")</f>
        <v>防护措施未落实到位，干熄焦区域东地面除尘平台护板开焊，如果操作工巡检过程中不小心踩踏，导致操作工跌落。</v>
      </c>
      <c r="E409" s="19" t="s">
        <v>1939</v>
      </c>
      <c r="F409" s="25" t="s">
        <v>828</v>
      </c>
      <c r="G409" s="22" t="s">
        <v>64</v>
      </c>
      <c r="H409" s="19" t="s">
        <v>44</v>
      </c>
      <c r="I409" s="19" t="s">
        <v>119</v>
      </c>
      <c r="J409" s="19" t="s">
        <v>182</v>
      </c>
      <c r="K409" s="19"/>
      <c r="L409" s="19"/>
      <c r="M409" s="19" t="s">
        <v>46</v>
      </c>
      <c r="N409" s="19" t="s">
        <v>1940</v>
      </c>
      <c r="O409" s="19" t="s">
        <v>46</v>
      </c>
      <c r="P409" s="19" t="s">
        <v>219</v>
      </c>
      <c r="Q409" s="19" t="s">
        <v>1780</v>
      </c>
      <c r="R409" s="19" t="s">
        <v>1597</v>
      </c>
      <c r="S409" s="19" t="s">
        <v>1941</v>
      </c>
      <c r="T409" s="19" t="s">
        <v>52</v>
      </c>
      <c r="U409" s="19" t="s">
        <v>53</v>
      </c>
      <c r="V409" s="19" t="s">
        <v>71</v>
      </c>
      <c r="W409" s="19" t="s">
        <v>116</v>
      </c>
      <c r="X409" s="19" t="s">
        <v>73</v>
      </c>
      <c r="Y409" s="19"/>
      <c r="Z409" s="19" t="s">
        <v>1942</v>
      </c>
      <c r="AA409" s="19">
        <v>1</v>
      </c>
      <c r="AB409" s="19"/>
      <c r="AC409" s="19" t="s">
        <v>103</v>
      </c>
      <c r="AD409" s="19"/>
      <c r="AE409" s="19"/>
      <c r="AF409" s="19"/>
    </row>
    <row r="410" spans="1:34">
      <c r="A410" s="19">
        <v>402</v>
      </c>
      <c r="B410" s="19" t="s">
        <v>1707</v>
      </c>
      <c r="C410" s="19" t="s">
        <v>1743</v>
      </c>
      <c r="D410" s="19" t="str">
        <f>HYPERLINK("http://henontech.com/fieldsafety/harzard/harzard_show.php?rid=4118&amp;url=harzardrecs.php","北供水制冷水池加药口铁板在加完药后未及时复位，夜间一名操作工巡检时不小心一只脚踩空造成腿部骨折")</f>
        <v>北供水制冷水池加药口铁板在加完药后未及时复位，夜间一名操作工巡检时不小心一只脚踩空造成腿部骨折</v>
      </c>
      <c r="E410" s="19" t="s">
        <v>1943</v>
      </c>
      <c r="F410" s="20" t="s">
        <v>42</v>
      </c>
      <c r="G410" s="21" t="s">
        <v>43</v>
      </c>
      <c r="H410" s="19" t="s">
        <v>44</v>
      </c>
      <c r="I410" s="19" t="s">
        <v>119</v>
      </c>
      <c r="J410" s="19" t="s">
        <v>45</v>
      </c>
      <c r="K410" s="19" t="s">
        <v>98</v>
      </c>
      <c r="L410" s="19" t="s">
        <v>99</v>
      </c>
      <c r="M410" s="19" t="s">
        <v>334</v>
      </c>
      <c r="N410" s="19" t="s">
        <v>1944</v>
      </c>
      <c r="O410" s="19" t="s">
        <v>334</v>
      </c>
      <c r="P410" s="19" t="s">
        <v>346</v>
      </c>
      <c r="Q410" s="19" t="s">
        <v>1517</v>
      </c>
      <c r="R410" s="19" t="s">
        <v>1945</v>
      </c>
      <c r="S410" s="19"/>
      <c r="T410" s="19" t="s">
        <v>52</v>
      </c>
      <c r="U410" s="19" t="s">
        <v>89</v>
      </c>
      <c r="V410" s="19" t="s">
        <v>54</v>
      </c>
      <c r="W410" s="19" t="s">
        <v>72</v>
      </c>
      <c r="X410" s="19"/>
      <c r="Y410" s="19"/>
      <c r="Z410" s="19" t="s">
        <v>1946</v>
      </c>
      <c r="AA410" s="19">
        <v>1</v>
      </c>
      <c r="AB410" s="19">
        <v>1</v>
      </c>
      <c r="AC410" s="19" t="s">
        <v>58</v>
      </c>
      <c r="AD410" s="19" t="s">
        <v>346</v>
      </c>
      <c r="AE410" s="19" t="s">
        <v>819</v>
      </c>
      <c r="AF410" s="19"/>
    </row>
    <row r="411" spans="1:34">
      <c r="A411" s="19">
        <v>403</v>
      </c>
      <c r="B411" s="19" t="s">
        <v>1707</v>
      </c>
      <c r="C411" s="19" t="s">
        <v>826</v>
      </c>
      <c r="D411" s="19" t="str">
        <f>HYPERLINK("http://henontech.com/fieldsafety/harzard/harzard_show.php?rid=4121&amp;url=harzardrecs.php","一员工在高处作业时未按规定佩戴安全带，其在行走时，脚底打滑，不慎从高处（约5米）坠落，头部着地，导致颈椎骨折，经送医后抢救无效死亡。")</f>
        <v>一员工在高处作业时未按规定佩戴安全带，其在行走时，脚底打滑，不慎从高处（约5米）坠落，头部着地，导致颈椎骨折，经送医后抢救无效死亡。</v>
      </c>
      <c r="E411" s="19" t="s">
        <v>1947</v>
      </c>
      <c r="F411" s="23" t="s">
        <v>96</v>
      </c>
      <c r="G411" s="22" t="s">
        <v>64</v>
      </c>
      <c r="H411" s="19" t="s">
        <v>44</v>
      </c>
      <c r="I411" s="19" t="s">
        <v>106</v>
      </c>
      <c r="J411" s="19" t="s">
        <v>182</v>
      </c>
      <c r="K411" s="19" t="s">
        <v>108</v>
      </c>
      <c r="L411" s="19" t="s">
        <v>99</v>
      </c>
      <c r="M411" s="19" t="s">
        <v>46</v>
      </c>
      <c r="N411" s="19" t="s">
        <v>1948</v>
      </c>
      <c r="O411" s="19"/>
      <c r="P411" s="19"/>
      <c r="Q411" s="19"/>
      <c r="R411" s="19" t="s">
        <v>1949</v>
      </c>
      <c r="S411" s="19" t="s">
        <v>1950</v>
      </c>
      <c r="T411" s="19" t="s">
        <v>52</v>
      </c>
      <c r="U411" s="19" t="s">
        <v>53</v>
      </c>
      <c r="V411" s="19" t="s">
        <v>71</v>
      </c>
      <c r="W411" s="19" t="s">
        <v>116</v>
      </c>
      <c r="X411" s="19"/>
      <c r="Y411" s="19"/>
      <c r="Z411" s="19"/>
      <c r="AA411" s="19">
        <v>0</v>
      </c>
      <c r="AB411" s="19"/>
      <c r="AC411" s="19" t="s">
        <v>103</v>
      </c>
      <c r="AD411" s="19"/>
      <c r="AE411" s="19"/>
      <c r="AF411" s="19"/>
    </row>
    <row r="412" spans="1:34" customHeight="1" ht="42">
      <c r="A412" s="19">
        <v>404</v>
      </c>
      <c r="B412" s="19" t="s">
        <v>1707</v>
      </c>
      <c r="C412" s="19" t="s">
        <v>586</v>
      </c>
      <c r="D412" s="19" t="str">
        <f>HYPERLINK("http://henontech.com/fieldsafety/harzard/harzard_show.php?rid=4125&amp;url=harzardrecs.php","一操作工从煤四厂房后经过，厂房高处墙皮老化脱落，砸中其左臂部，送医就治确诊为左臂关节骨折，住院治疗7天，回家休养30天后复工。")</f>
        <v>一操作工从煤四厂房后经过，厂房高处墙皮老化脱落，砸中其左臂部，送医就治确诊为左臂关节骨折，住院治疗7天，回家休养30天后复工。</v>
      </c>
      <c r="E412" s="19" t="s">
        <v>1951</v>
      </c>
      <c r="F412" s="20" t="s">
        <v>42</v>
      </c>
      <c r="G412" s="21" t="s">
        <v>43</v>
      </c>
      <c r="H412" s="19" t="s">
        <v>44</v>
      </c>
      <c r="I412" s="19" t="s">
        <v>97</v>
      </c>
      <c r="J412" s="19" t="s">
        <v>527</v>
      </c>
      <c r="K412" s="19" t="s">
        <v>108</v>
      </c>
      <c r="L412" s="19" t="s">
        <v>99</v>
      </c>
      <c r="M412" s="19" t="s">
        <v>565</v>
      </c>
      <c r="N412" s="19" t="s">
        <v>940</v>
      </c>
      <c r="O412" s="19" t="s">
        <v>565</v>
      </c>
      <c r="P412" s="19" t="s">
        <v>627</v>
      </c>
      <c r="Q412" s="19" t="s">
        <v>819</v>
      </c>
      <c r="R412" s="19" t="s">
        <v>1952</v>
      </c>
      <c r="S412" s="19"/>
      <c r="T412" s="19" t="s">
        <v>52</v>
      </c>
      <c r="U412" s="19" t="s">
        <v>89</v>
      </c>
      <c r="V412" s="19" t="s">
        <v>54</v>
      </c>
      <c r="W412" s="19" t="s">
        <v>72</v>
      </c>
      <c r="X412" s="19"/>
      <c r="Y412" s="19"/>
      <c r="Z412" s="19" t="s">
        <v>1953</v>
      </c>
      <c r="AA412" s="19">
        <v>2</v>
      </c>
      <c r="AB412" s="19">
        <v>2</v>
      </c>
      <c r="AC412" s="19" t="s">
        <v>58</v>
      </c>
      <c r="AD412" s="19" t="s">
        <v>627</v>
      </c>
      <c r="AE412" s="19" t="s">
        <v>1707</v>
      </c>
      <c r="AF412" s="19"/>
    </row>
    <row r="413" spans="1:34">
      <c r="A413" s="19">
        <v>405</v>
      </c>
      <c r="B413" s="19" t="s">
        <v>1707</v>
      </c>
      <c r="C413" s="19" t="s">
        <v>1641</v>
      </c>
      <c r="D413" s="19" t="str">
        <f>HYPERLINK("http://henontech.com/fieldsafety/harzard/harzard_show.php?rid=4129&amp;url=harzardrecs.php","盐酸罐底部罐体与管线连接处漏液，一名维修工在维修时未带护目镜，酸液溅入眼中。")</f>
        <v>盐酸罐底部罐体与管线连接处漏液，一名维修工在维修时未带护目镜，酸液溅入眼中。</v>
      </c>
      <c r="E413" s="19" t="s">
        <v>1954</v>
      </c>
      <c r="F413" s="23" t="s">
        <v>96</v>
      </c>
      <c r="G413" s="22" t="s">
        <v>64</v>
      </c>
      <c r="H413" s="19" t="s">
        <v>44</v>
      </c>
      <c r="I413" s="19"/>
      <c r="J413" s="19" t="s">
        <v>45</v>
      </c>
      <c r="K413" s="19" t="s">
        <v>170</v>
      </c>
      <c r="L413" s="19"/>
      <c r="M413" s="19" t="s">
        <v>663</v>
      </c>
      <c r="N413" s="19" t="s">
        <v>1955</v>
      </c>
      <c r="O413" s="19"/>
      <c r="P413" s="19"/>
      <c r="Q413" s="19"/>
      <c r="R413" s="19" t="s">
        <v>1956</v>
      </c>
      <c r="S413" s="19" t="s">
        <v>1957</v>
      </c>
      <c r="T413" s="19" t="s">
        <v>52</v>
      </c>
      <c r="U413" s="19" t="s">
        <v>70</v>
      </c>
      <c r="V413" s="19" t="s">
        <v>71</v>
      </c>
      <c r="W413" s="19" t="s">
        <v>72</v>
      </c>
      <c r="X413" s="19"/>
      <c r="Y413" s="19"/>
      <c r="Z413" s="19"/>
      <c r="AA413" s="19">
        <v>0</v>
      </c>
      <c r="AB413" s="19"/>
      <c r="AC413" s="19" t="s">
        <v>103</v>
      </c>
      <c r="AD413" s="19"/>
      <c r="AE413" s="19"/>
      <c r="AF413" s="19"/>
    </row>
    <row r="414" spans="1:34">
      <c r="A414" s="19">
        <v>406</v>
      </c>
      <c r="B414" s="19" t="s">
        <v>1707</v>
      </c>
      <c r="C414" s="19" t="s">
        <v>869</v>
      </c>
      <c r="D414" s="19" t="str">
        <f>HYPERLINK("http://henontech.com/fieldsafety/harzard/harzard_show.php?rid=4130&amp;url=harzardrecs.php","两盐配电箱内漏电保护器损坏，操作工在合闸时易发生触电事故，送医诊断右臂前胸电热酌伤，住院治疗2天，在家修养5天后康复。")</f>
        <v>两盐配电箱内漏电保护器损坏，操作工在合闸时易发生触电事故，送医诊断右臂前胸电热酌伤，住院治疗2天，在家修养5天后康复。</v>
      </c>
      <c r="E414" s="19" t="s">
        <v>1164</v>
      </c>
      <c r="F414" s="20" t="s">
        <v>42</v>
      </c>
      <c r="G414" s="22" t="s">
        <v>64</v>
      </c>
      <c r="H414" s="19" t="s">
        <v>44</v>
      </c>
      <c r="I414" s="19" t="s">
        <v>119</v>
      </c>
      <c r="J414" s="19" t="s">
        <v>231</v>
      </c>
      <c r="K414" s="19"/>
      <c r="L414" s="19"/>
      <c r="M414" s="19" t="s">
        <v>334</v>
      </c>
      <c r="N414" s="19" t="s">
        <v>1958</v>
      </c>
      <c r="O414" s="19" t="s">
        <v>334</v>
      </c>
      <c r="P414" s="19" t="s">
        <v>346</v>
      </c>
      <c r="Q414" s="19" t="s">
        <v>1517</v>
      </c>
      <c r="R414" s="19" t="s">
        <v>1959</v>
      </c>
      <c r="S414" s="19"/>
      <c r="T414" s="19" t="s">
        <v>52</v>
      </c>
      <c r="U414" s="19" t="s">
        <v>89</v>
      </c>
      <c r="V414" s="19" t="s">
        <v>54</v>
      </c>
      <c r="W414" s="19" t="s">
        <v>72</v>
      </c>
      <c r="X414" s="19"/>
      <c r="Y414" s="19"/>
      <c r="Z414" s="19" t="s">
        <v>1960</v>
      </c>
      <c r="AA414" s="19">
        <v>1</v>
      </c>
      <c r="AB414" s="19">
        <v>1</v>
      </c>
      <c r="AC414" s="19" t="s">
        <v>58</v>
      </c>
      <c r="AD414" s="19" t="s">
        <v>346</v>
      </c>
      <c r="AE414" s="19" t="s">
        <v>724</v>
      </c>
      <c r="AF414" s="19"/>
    </row>
    <row r="415" spans="1:34">
      <c r="A415" s="19">
        <v>407</v>
      </c>
      <c r="B415" s="19" t="s">
        <v>819</v>
      </c>
      <c r="C415" s="19" t="s">
        <v>578</v>
      </c>
      <c r="D415" s="19" t="str">
        <f>HYPERLINK("http://henontech.com/fieldsafety/harzard/harzard_show.php?rid=4134&amp;url=harzardrecs.php","进煤地磅离地面接近一米，过磅人员跳跃下磅时不小心摔倒事故，送医院检查诊断右脚踝关节扭伤，住院治疗7天，回家休养30天。")</f>
        <v>进煤地磅离地面接近一米，过磅人员跳跃下磅时不小心摔倒事故，送医院检查诊断右脚踝关节扭伤，住院治疗7天，回家休养30天。</v>
      </c>
      <c r="E415" s="19" t="s">
        <v>1961</v>
      </c>
      <c r="F415" s="23" t="s">
        <v>96</v>
      </c>
      <c r="G415" s="22" t="s">
        <v>64</v>
      </c>
      <c r="H415" s="19" t="s">
        <v>44</v>
      </c>
      <c r="I415" s="19"/>
      <c r="J415" s="19"/>
      <c r="K415" s="19"/>
      <c r="L415" s="19" t="s">
        <v>99</v>
      </c>
      <c r="M415" s="19" t="s">
        <v>565</v>
      </c>
      <c r="N415" s="19" t="s">
        <v>1962</v>
      </c>
      <c r="O415" s="19"/>
      <c r="P415" s="19"/>
      <c r="Q415" s="19"/>
      <c r="R415" s="19" t="s">
        <v>565</v>
      </c>
      <c r="S415" s="19" t="s">
        <v>1963</v>
      </c>
      <c r="T415" s="19" t="s">
        <v>52</v>
      </c>
      <c r="U415" s="19" t="s">
        <v>70</v>
      </c>
      <c r="V415" s="19" t="s">
        <v>54</v>
      </c>
      <c r="W415" s="19" t="s">
        <v>81</v>
      </c>
      <c r="X415" s="19"/>
      <c r="Y415" s="19"/>
      <c r="Z415" s="19"/>
      <c r="AA415" s="19">
        <v>0</v>
      </c>
      <c r="AB415" s="19"/>
      <c r="AC415" s="19" t="s">
        <v>103</v>
      </c>
      <c r="AD415" s="19"/>
      <c r="AE415" s="19"/>
      <c r="AF415" s="19"/>
    </row>
    <row r="416" spans="1:34">
      <c r="A416" s="19">
        <v>408</v>
      </c>
      <c r="B416" s="19" t="s">
        <v>819</v>
      </c>
      <c r="C416" s="19" t="s">
        <v>578</v>
      </c>
      <c r="D416" s="19" t="str">
        <f>HYPERLINK("http://henontech.com/fieldsafety/harzard/harzard_show.php?rid=4135&amp;url=harzardrecs.php","备煤进煤地磅高出地面接近一米，过磅人员跳跃下磅不小心摔倒受伤，送医院检查诊断右脚踝关节扭伤，住院治疗7天，回家休养30天。")</f>
        <v>备煤进煤地磅高出地面接近一米，过磅人员跳跃下磅不小心摔倒受伤，送医院检查诊断右脚踝关节扭伤，住院治疗7天，回家休养30天。</v>
      </c>
      <c r="E416" s="19" t="s">
        <v>1964</v>
      </c>
      <c r="F416" s="23" t="s">
        <v>96</v>
      </c>
      <c r="G416" s="22" t="s">
        <v>64</v>
      </c>
      <c r="H416" s="19" t="s">
        <v>44</v>
      </c>
      <c r="I416" s="19"/>
      <c r="J416" s="19"/>
      <c r="K416" s="19"/>
      <c r="L416" s="19" t="s">
        <v>99</v>
      </c>
      <c r="M416" s="19" t="s">
        <v>565</v>
      </c>
      <c r="N416" s="19" t="s">
        <v>1962</v>
      </c>
      <c r="O416" s="19"/>
      <c r="P416" s="19"/>
      <c r="Q416" s="19"/>
      <c r="R416" s="19" t="s">
        <v>565</v>
      </c>
      <c r="S416" s="19" t="s">
        <v>1963</v>
      </c>
      <c r="T416" s="19" t="s">
        <v>52</v>
      </c>
      <c r="U416" s="19" t="s">
        <v>70</v>
      </c>
      <c r="V416" s="19" t="s">
        <v>54</v>
      </c>
      <c r="W416" s="19" t="s">
        <v>81</v>
      </c>
      <c r="X416" s="19"/>
      <c r="Y416" s="19"/>
      <c r="Z416" s="19"/>
      <c r="AA416" s="19">
        <v>0</v>
      </c>
      <c r="AB416" s="19"/>
      <c r="AC416" s="19" t="s">
        <v>103</v>
      </c>
      <c r="AD416" s="19"/>
      <c r="AE416" s="19"/>
      <c r="AF416" s="19"/>
    </row>
    <row r="417" spans="1:34">
      <c r="A417" s="19">
        <v>409</v>
      </c>
      <c r="B417" s="19" t="s">
        <v>819</v>
      </c>
      <c r="C417" s="19" t="s">
        <v>578</v>
      </c>
      <c r="D417" s="19" t="str">
        <f>HYPERLINK("http://henontech.com/fieldsafety/harzard/harzard_show.php?rid=4136&amp;url=harzardrecs.php","备煤进煤地磅高出地面接近一米，过磅人员跳跃下磅不小心摔倒受伤，送医院检查诊断右脚踝关节扭伤，住院治疗7天，回家休养30天。")</f>
        <v>备煤进煤地磅高出地面接近一米，过磅人员跳跃下磅不小心摔倒受伤，送医院检查诊断右脚踝关节扭伤，住院治疗7天，回家休养30天。</v>
      </c>
      <c r="E417" s="19" t="s">
        <v>1964</v>
      </c>
      <c r="F417" s="23" t="s">
        <v>96</v>
      </c>
      <c r="G417" s="22" t="s">
        <v>64</v>
      </c>
      <c r="H417" s="19" t="s">
        <v>44</v>
      </c>
      <c r="I417" s="19"/>
      <c r="J417" s="19"/>
      <c r="K417" s="19"/>
      <c r="L417" s="19" t="s">
        <v>99</v>
      </c>
      <c r="M417" s="19" t="s">
        <v>565</v>
      </c>
      <c r="N417" s="19" t="s">
        <v>1962</v>
      </c>
      <c r="O417" s="19"/>
      <c r="P417" s="19"/>
      <c r="Q417" s="19"/>
      <c r="R417" s="19" t="s">
        <v>565</v>
      </c>
      <c r="S417" s="19" t="s">
        <v>1963</v>
      </c>
      <c r="T417" s="19" t="s">
        <v>52</v>
      </c>
      <c r="U417" s="19" t="s">
        <v>70</v>
      </c>
      <c r="V417" s="19" t="s">
        <v>54</v>
      </c>
      <c r="W417" s="19" t="s">
        <v>81</v>
      </c>
      <c r="X417" s="19"/>
      <c r="Y417" s="19"/>
      <c r="Z417" s="19"/>
      <c r="AA417" s="19">
        <v>0</v>
      </c>
      <c r="AB417" s="19"/>
      <c r="AC417" s="19" t="s">
        <v>103</v>
      </c>
      <c r="AD417" s="19"/>
      <c r="AE417" s="19"/>
      <c r="AF417" s="19"/>
    </row>
    <row r="418" spans="1:34">
      <c r="A418" s="19">
        <v>410</v>
      </c>
      <c r="B418" s="19" t="s">
        <v>819</v>
      </c>
      <c r="C418" s="19" t="s">
        <v>578</v>
      </c>
      <c r="D418" s="19" t="str">
        <f>HYPERLINK("http://henontech.com/fieldsafety/harzard/harzard_show.php?rid=4137&amp;url=harzardrecs.php","备煤进煤地磅高出地面接近一米，过磅人员跳跃下磅不小心摔倒受伤，送医院检查诊断右脚踝关节扭伤，住院治疗7天，回家休养30天。")</f>
        <v>备煤进煤地磅高出地面接近一米，过磅人员跳跃下磅不小心摔倒受伤，送医院检查诊断右脚踝关节扭伤，住院治疗7天，回家休养30天。</v>
      </c>
      <c r="E418" s="19" t="s">
        <v>1964</v>
      </c>
      <c r="F418" s="23" t="s">
        <v>96</v>
      </c>
      <c r="G418" s="22" t="s">
        <v>64</v>
      </c>
      <c r="H418" s="19" t="s">
        <v>44</v>
      </c>
      <c r="I418" s="19"/>
      <c r="J418" s="19"/>
      <c r="K418" s="19"/>
      <c r="L418" s="19" t="s">
        <v>99</v>
      </c>
      <c r="M418" s="19" t="s">
        <v>565</v>
      </c>
      <c r="N418" s="19" t="s">
        <v>1962</v>
      </c>
      <c r="O418" s="19"/>
      <c r="P418" s="19"/>
      <c r="Q418" s="19"/>
      <c r="R418" s="19" t="s">
        <v>565</v>
      </c>
      <c r="S418" s="19" t="s">
        <v>1963</v>
      </c>
      <c r="T418" s="19" t="s">
        <v>52</v>
      </c>
      <c r="U418" s="19" t="s">
        <v>70</v>
      </c>
      <c r="V418" s="19" t="s">
        <v>54</v>
      </c>
      <c r="W418" s="19" t="s">
        <v>81</v>
      </c>
      <c r="X418" s="19"/>
      <c r="Y418" s="19"/>
      <c r="Z418" s="19"/>
      <c r="AA418" s="19">
        <v>0</v>
      </c>
      <c r="AB418" s="19"/>
      <c r="AC418" s="19" t="s">
        <v>103</v>
      </c>
      <c r="AD418" s="19"/>
      <c r="AE418" s="19"/>
      <c r="AF418" s="19"/>
    </row>
    <row r="419" spans="1:34">
      <c r="A419" s="19">
        <v>411</v>
      </c>
      <c r="B419" s="19" t="s">
        <v>819</v>
      </c>
      <c r="C419" s="19" t="s">
        <v>803</v>
      </c>
      <c r="D419" s="19" t="str">
        <f>HYPERLINK("http://henontech.com/fieldsafety/harzard/harzard_show.php?rid=4141&amp;url=harzardrecs.php","维修人员维修3#空压机时，把门摘下来维修完后未及时把门按上，假如在倒换设备时不小心被门绊倒，造成胳膊轻度擦伤，经医务人员包扎后返岗上班。")</f>
        <v>维修人员维修3#空压机时，把门摘下来维修完后未及时把门按上，假如在倒换设备时不小心被门绊倒，造成胳膊轻度擦伤，经医务人员包扎后返岗上班。</v>
      </c>
      <c r="E419" s="19" t="s">
        <v>1965</v>
      </c>
      <c r="F419" s="20" t="s">
        <v>42</v>
      </c>
      <c r="G419" s="22" t="s">
        <v>64</v>
      </c>
      <c r="H419" s="19" t="s">
        <v>44</v>
      </c>
      <c r="I419" s="19" t="s">
        <v>97</v>
      </c>
      <c r="J419" s="19" t="s">
        <v>175</v>
      </c>
      <c r="K419" s="19" t="s">
        <v>170</v>
      </c>
      <c r="L419" s="19" t="s">
        <v>99</v>
      </c>
      <c r="M419" s="19" t="s">
        <v>334</v>
      </c>
      <c r="N419" s="19" t="s">
        <v>1966</v>
      </c>
      <c r="O419" s="19" t="s">
        <v>334</v>
      </c>
      <c r="P419" s="19" t="s">
        <v>346</v>
      </c>
      <c r="Q419" s="19" t="s">
        <v>1967</v>
      </c>
      <c r="R419" s="19" t="s">
        <v>1968</v>
      </c>
      <c r="S419" s="19"/>
      <c r="T419" s="19" t="s">
        <v>52</v>
      </c>
      <c r="U419" s="19" t="s">
        <v>70</v>
      </c>
      <c r="V419" s="19" t="s">
        <v>80</v>
      </c>
      <c r="W419" s="19" t="s">
        <v>55</v>
      </c>
      <c r="X419" s="19"/>
      <c r="Y419" s="19"/>
      <c r="Z419" s="19" t="s">
        <v>1969</v>
      </c>
      <c r="AA419" s="19">
        <v>1</v>
      </c>
      <c r="AB419" s="19">
        <v>1</v>
      </c>
      <c r="AC419" s="19" t="s">
        <v>58</v>
      </c>
      <c r="AD419" s="19" t="s">
        <v>346</v>
      </c>
      <c r="AE419" s="19" t="s">
        <v>1970</v>
      </c>
      <c r="AF419" s="19"/>
    </row>
    <row r="420" spans="1:34">
      <c r="A420" s="19">
        <v>412</v>
      </c>
      <c r="B420" s="19" t="s">
        <v>819</v>
      </c>
      <c r="C420" s="19" t="s">
        <v>1641</v>
      </c>
      <c r="D420" s="19" t="str">
        <f>HYPERLINK("http://henontech.com/fieldsafety/harzard/harzard_show.php?rid=4142&amp;url=harzardrecs.php","一名操作工在开阀门时因未有爬梯站在塑料桶上操作不慎踩空，造成脚部歪伤。")</f>
        <v>一名操作工在开阀门时因未有爬梯站在塑料桶上操作不慎踩空，造成脚部歪伤。</v>
      </c>
      <c r="E420" s="19" t="s">
        <v>1971</v>
      </c>
      <c r="F420" s="23" t="s">
        <v>96</v>
      </c>
      <c r="G420" s="22" t="s">
        <v>64</v>
      </c>
      <c r="H420" s="19" t="s">
        <v>44</v>
      </c>
      <c r="I420" s="19" t="s">
        <v>106</v>
      </c>
      <c r="J420" s="19"/>
      <c r="K420" s="19" t="s">
        <v>216</v>
      </c>
      <c r="L420" s="19" t="s">
        <v>99</v>
      </c>
      <c r="M420" s="19" t="s">
        <v>663</v>
      </c>
      <c r="N420" s="19" t="s">
        <v>1972</v>
      </c>
      <c r="O420" s="19"/>
      <c r="P420" s="19"/>
      <c r="Q420" s="19"/>
      <c r="R420" s="19" t="s">
        <v>1973</v>
      </c>
      <c r="S420" s="19" t="s">
        <v>1974</v>
      </c>
      <c r="T420" s="19" t="s">
        <v>52</v>
      </c>
      <c r="U420" s="19" t="s">
        <v>70</v>
      </c>
      <c r="V420" s="19" t="s">
        <v>71</v>
      </c>
      <c r="W420" s="19" t="s">
        <v>72</v>
      </c>
      <c r="X420" s="19"/>
      <c r="Y420" s="19"/>
      <c r="Z420" s="19"/>
      <c r="AA420" s="19">
        <v>0</v>
      </c>
      <c r="AB420" s="19"/>
      <c r="AC420" s="19" t="s">
        <v>103</v>
      </c>
      <c r="AD420" s="19"/>
      <c r="AE420" s="19"/>
      <c r="AF420" s="19"/>
    </row>
    <row r="421" spans="1:34" customHeight="1" ht="42">
      <c r="A421" s="19">
        <v>413</v>
      </c>
      <c r="B421" s="19" t="s">
        <v>819</v>
      </c>
      <c r="C421" s="19" t="s">
        <v>1641</v>
      </c>
      <c r="D421" s="19" t="str">
        <f>HYPERLINK("http://henontech.com/fieldsafety/harzard/harzard_show.php?rid=4143&amp;url=harzardrecs.php","一名操作工在开阀门时因未有爬梯站在塑料桶上操作不慎踩空，造成脚部歪伤。")</f>
        <v>一名操作工在开阀门时因未有爬梯站在塑料桶上操作不慎踩空，造成脚部歪伤。</v>
      </c>
      <c r="E421" s="19" t="s">
        <v>1971</v>
      </c>
      <c r="F421" s="20" t="s">
        <v>42</v>
      </c>
      <c r="G421" s="22" t="s">
        <v>64</v>
      </c>
      <c r="H421" s="19" t="s">
        <v>44</v>
      </c>
      <c r="I421" s="19" t="s">
        <v>106</v>
      </c>
      <c r="J421" s="19"/>
      <c r="K421" s="19" t="s">
        <v>216</v>
      </c>
      <c r="L421" s="19" t="s">
        <v>99</v>
      </c>
      <c r="M421" s="19" t="s">
        <v>663</v>
      </c>
      <c r="N421" s="19" t="s">
        <v>1972</v>
      </c>
      <c r="O421" s="19" t="s">
        <v>663</v>
      </c>
      <c r="P421" s="19" t="s">
        <v>664</v>
      </c>
      <c r="Q421" s="19" t="s">
        <v>926</v>
      </c>
      <c r="R421" s="19" t="s">
        <v>1973</v>
      </c>
      <c r="S421" s="19"/>
      <c r="T421" s="19" t="s">
        <v>52</v>
      </c>
      <c r="U421" s="19" t="s">
        <v>70</v>
      </c>
      <c r="V421" s="19" t="s">
        <v>71</v>
      </c>
      <c r="W421" s="19" t="s">
        <v>72</v>
      </c>
      <c r="X421" s="19" t="s">
        <v>73</v>
      </c>
      <c r="Y421" s="19"/>
      <c r="Z421" s="19" t="s">
        <v>1975</v>
      </c>
      <c r="AA421" s="19">
        <v>2</v>
      </c>
      <c r="AB421" s="19">
        <v>2</v>
      </c>
      <c r="AC421" s="19" t="s">
        <v>58</v>
      </c>
      <c r="AD421" s="19" t="s">
        <v>664</v>
      </c>
      <c r="AE421" s="19" t="s">
        <v>759</v>
      </c>
      <c r="AF421" s="19" t="s">
        <v>1976</v>
      </c>
    </row>
    <row r="422" spans="1:34">
      <c r="A422" s="19">
        <v>414</v>
      </c>
      <c r="B422" s="19" t="s">
        <v>819</v>
      </c>
      <c r="C422" s="19" t="s">
        <v>1844</v>
      </c>
      <c r="D422" s="19" t="str">
        <f>HYPERLINK("http://henontech.com/fieldsafety/harzard/harzard_show.php?rid=4145&amp;url=harzardrecs.php","吸氨岗位制备器无接地，一名职工廵检此处，设备漏电，电伤职工，经医院珍断损工两天。")</f>
        <v>吸氨岗位制备器无接地，一名职工廵检此处，设备漏电，电伤职工，经医院珍断损工两天。</v>
      </c>
      <c r="E422" s="19" t="s">
        <v>1977</v>
      </c>
      <c r="F422" s="20" t="s">
        <v>42</v>
      </c>
      <c r="G422" s="22" t="s">
        <v>64</v>
      </c>
      <c r="H422" s="19" t="s">
        <v>44</v>
      </c>
      <c r="I422" s="19"/>
      <c r="J422" s="19" t="s">
        <v>45</v>
      </c>
      <c r="K422" s="19" t="s">
        <v>108</v>
      </c>
      <c r="L422" s="19" t="s">
        <v>1978</v>
      </c>
      <c r="M422" s="19" t="s">
        <v>241</v>
      </c>
      <c r="N422" s="19" t="s">
        <v>1516</v>
      </c>
      <c r="O422" s="19" t="s">
        <v>241</v>
      </c>
      <c r="P422" s="19" t="s">
        <v>1793</v>
      </c>
      <c r="Q422" s="19" t="s">
        <v>1517</v>
      </c>
      <c r="R422" s="19" t="s">
        <v>1449</v>
      </c>
      <c r="S422" s="19"/>
      <c r="T422" s="19" t="s">
        <v>52</v>
      </c>
      <c r="U422" s="19" t="s">
        <v>89</v>
      </c>
      <c r="V422" s="19" t="s">
        <v>54</v>
      </c>
      <c r="W422" s="19" t="s">
        <v>72</v>
      </c>
      <c r="X422" s="19" t="s">
        <v>90</v>
      </c>
      <c r="Y422" s="19"/>
      <c r="Z422" s="19" t="s">
        <v>1979</v>
      </c>
      <c r="AA422" s="19">
        <v>1</v>
      </c>
      <c r="AB422" s="19">
        <v>1</v>
      </c>
      <c r="AC422" s="19" t="s">
        <v>58</v>
      </c>
      <c r="AD422" s="19" t="s">
        <v>1793</v>
      </c>
      <c r="AE422" s="19" t="s">
        <v>882</v>
      </c>
      <c r="AF422" s="19"/>
    </row>
    <row r="423" spans="1:34">
      <c r="A423" s="19">
        <v>415</v>
      </c>
      <c r="B423" s="19" t="s">
        <v>819</v>
      </c>
      <c r="C423" s="19" t="s">
        <v>563</v>
      </c>
      <c r="D423" s="19" t="str">
        <f>HYPERLINK("http://henontech.com/fieldsafety/harzard/harzard_show.php?rid=4148&amp;url=harzardrecs.php","仓库顶棚破损脱落，一名职工途经时损坏部分掉落，砸伤右臂，送医确诊右小臂骨折，住院治疗15天，回家休养90天后复工。")</f>
        <v>仓库顶棚破损脱落，一名职工途经时损坏部分掉落，砸伤右臂，送医确诊右小臂骨折，住院治疗15天，回家休养90天后复工。</v>
      </c>
      <c r="E423" s="19" t="s">
        <v>1980</v>
      </c>
      <c r="F423" s="20" t="s">
        <v>42</v>
      </c>
      <c r="G423" s="22" t="s">
        <v>64</v>
      </c>
      <c r="H423" s="19" t="s">
        <v>44</v>
      </c>
      <c r="I423" s="19" t="s">
        <v>119</v>
      </c>
      <c r="J423" s="19" t="s">
        <v>527</v>
      </c>
      <c r="K423" s="19" t="s">
        <v>108</v>
      </c>
      <c r="L423" s="19" t="s">
        <v>99</v>
      </c>
      <c r="M423" s="19" t="s">
        <v>565</v>
      </c>
      <c r="N423" s="19" t="s">
        <v>1981</v>
      </c>
      <c r="O423" s="19" t="s">
        <v>565</v>
      </c>
      <c r="P423" s="19" t="s">
        <v>627</v>
      </c>
      <c r="Q423" s="19" t="s">
        <v>732</v>
      </c>
      <c r="R423" s="19" t="s">
        <v>1982</v>
      </c>
      <c r="S423" s="19"/>
      <c r="T423" s="19" t="s">
        <v>52</v>
      </c>
      <c r="U423" s="19" t="s">
        <v>89</v>
      </c>
      <c r="V423" s="19" t="s">
        <v>71</v>
      </c>
      <c r="W423" s="19" t="s">
        <v>55</v>
      </c>
      <c r="X423" s="19"/>
      <c r="Y423" s="19"/>
      <c r="Z423" s="19" t="s">
        <v>1983</v>
      </c>
      <c r="AA423" s="19">
        <v>1</v>
      </c>
      <c r="AB423" s="19">
        <v>1</v>
      </c>
      <c r="AC423" s="19" t="s">
        <v>58</v>
      </c>
      <c r="AD423" s="19" t="s">
        <v>627</v>
      </c>
      <c r="AE423" s="19" t="s">
        <v>724</v>
      </c>
      <c r="AF423" s="19"/>
    </row>
    <row r="424" spans="1:34" customHeight="1" ht="42">
      <c r="A424" s="19">
        <v>416</v>
      </c>
      <c r="B424" s="19" t="s">
        <v>819</v>
      </c>
      <c r="C424" s="19" t="s">
        <v>1844</v>
      </c>
      <c r="D424" s="19" t="str">
        <f>HYPERLINK("http://henontech.com/fieldsafety/harzard/harzard_show.php?rid=4151&amp;url=harzardrecs.php","氨水制备器无接地装置操作工在关闭阀门时触电晕倒，及时送医检查身体无大碍在家休息一周损工7天。")</f>
        <v>氨水制备器无接地装置操作工在关闭阀门时触电晕倒，及时送医检查身体无大碍在家休息一周损工7天。</v>
      </c>
      <c r="E424" s="19" t="s">
        <v>1984</v>
      </c>
      <c r="F424" s="20" t="s">
        <v>42</v>
      </c>
      <c r="G424" s="22" t="s">
        <v>64</v>
      </c>
      <c r="H424" s="19" t="s">
        <v>44</v>
      </c>
      <c r="I424" s="19" t="s">
        <v>119</v>
      </c>
      <c r="J424" s="19" t="s">
        <v>45</v>
      </c>
      <c r="K424" s="19" t="s">
        <v>98</v>
      </c>
      <c r="L424" s="19"/>
      <c r="M424" s="19" t="s">
        <v>241</v>
      </c>
      <c r="N424" s="19" t="s">
        <v>1985</v>
      </c>
      <c r="O424" s="19" t="s">
        <v>241</v>
      </c>
      <c r="P424" s="19" t="s">
        <v>1516</v>
      </c>
      <c r="Q424" s="19" t="s">
        <v>1517</v>
      </c>
      <c r="R424" s="19" t="s">
        <v>1986</v>
      </c>
      <c r="S424" s="19"/>
      <c r="T424" s="19" t="s">
        <v>52</v>
      </c>
      <c r="U424" s="19" t="s">
        <v>70</v>
      </c>
      <c r="V424" s="19" t="s">
        <v>71</v>
      </c>
      <c r="W424" s="19" t="s">
        <v>72</v>
      </c>
      <c r="X424" s="19" t="s">
        <v>364</v>
      </c>
      <c r="Y424" s="19" t="s">
        <v>364</v>
      </c>
      <c r="Z424" s="19" t="s">
        <v>1987</v>
      </c>
      <c r="AA424" s="19">
        <v>2</v>
      </c>
      <c r="AB424" s="19">
        <v>1</v>
      </c>
      <c r="AC424" s="19" t="s">
        <v>58</v>
      </c>
      <c r="AD424" s="19" t="s">
        <v>1516</v>
      </c>
      <c r="AE424" s="19" t="s">
        <v>819</v>
      </c>
      <c r="AF424" s="19" t="s">
        <v>1988</v>
      </c>
    </row>
    <row r="425" spans="1:34" customHeight="1" ht="42">
      <c r="A425" s="19">
        <v>417</v>
      </c>
      <c r="B425" s="19" t="s">
        <v>819</v>
      </c>
      <c r="C425" s="19" t="s">
        <v>578</v>
      </c>
      <c r="D425" s="19" t="str">
        <f>HYPERLINK("http://henontech.com/fieldsafety/harzard/harzard_show.php?rid=4152&amp;url=harzardrecs.php","西五一照明灯损坏 操作工巡检时看不清脚下被绊倒 扭伤右脚脚踝休息一会不影响工作")</f>
        <v>西五一照明灯损坏 操作工巡检时看不清脚下被绊倒 扭伤右脚脚踝休息一会不影响工作</v>
      </c>
      <c r="E425" s="19" t="s">
        <v>1148</v>
      </c>
      <c r="F425" s="20" t="s">
        <v>42</v>
      </c>
      <c r="G425" s="22" t="s">
        <v>64</v>
      </c>
      <c r="H425" s="19" t="s">
        <v>44</v>
      </c>
      <c r="I425" s="19" t="s">
        <v>119</v>
      </c>
      <c r="J425" s="19"/>
      <c r="K425" s="19" t="s">
        <v>170</v>
      </c>
      <c r="L425" s="19"/>
      <c r="M425" s="19" t="s">
        <v>565</v>
      </c>
      <c r="N425" s="19" t="s">
        <v>1143</v>
      </c>
      <c r="O425" s="19" t="s">
        <v>565</v>
      </c>
      <c r="P425" s="19" t="s">
        <v>1144</v>
      </c>
      <c r="Q425" s="19" t="s">
        <v>1989</v>
      </c>
      <c r="R425" s="19" t="s">
        <v>581</v>
      </c>
      <c r="S425" s="19"/>
      <c r="T425" s="19" t="s">
        <v>52</v>
      </c>
      <c r="U425" s="19" t="s">
        <v>70</v>
      </c>
      <c r="V425" s="19" t="s">
        <v>54</v>
      </c>
      <c r="W425" s="19" t="s">
        <v>81</v>
      </c>
      <c r="X425" s="19"/>
      <c r="Y425" s="19"/>
      <c r="Z425" s="19" t="s">
        <v>1990</v>
      </c>
      <c r="AA425" s="19">
        <v>2</v>
      </c>
      <c r="AB425" s="19">
        <v>2</v>
      </c>
      <c r="AC425" s="19" t="s">
        <v>58</v>
      </c>
      <c r="AD425" s="19" t="s">
        <v>1144</v>
      </c>
      <c r="AE425" s="19" t="s">
        <v>882</v>
      </c>
      <c r="AF425" s="19"/>
    </row>
    <row r="426" spans="1:34" customHeight="1" ht="42">
      <c r="A426" s="19">
        <v>418</v>
      </c>
      <c r="B426" s="19" t="s">
        <v>819</v>
      </c>
      <c r="C426" s="19" t="s">
        <v>578</v>
      </c>
      <c r="D426" s="19" t="str">
        <f>HYPERLINK("http://henontech.com/fieldsafety/harzard/harzard_show.php?rid=4153&amp;url=harzardrecs.php","西四门口处照明灯坏 操作工巡查时经过门口 看不清脚下被台阶拌倒 扭伤右手手腕 休息一会不影响工作")</f>
        <v>西四门口处照明灯坏 操作工巡查时经过门口 看不清脚下被台阶拌倒 扭伤右手手腕 休息一会不影响工作</v>
      </c>
      <c r="E426" s="19" t="s">
        <v>1991</v>
      </c>
      <c r="F426" s="20" t="s">
        <v>42</v>
      </c>
      <c r="G426" s="22" t="s">
        <v>64</v>
      </c>
      <c r="H426" s="19" t="s">
        <v>44</v>
      </c>
      <c r="I426" s="19" t="s">
        <v>97</v>
      </c>
      <c r="J426" s="19"/>
      <c r="K426" s="19" t="s">
        <v>108</v>
      </c>
      <c r="L426" s="19" t="s">
        <v>99</v>
      </c>
      <c r="M426" s="19" t="s">
        <v>565</v>
      </c>
      <c r="N426" s="19" t="s">
        <v>1143</v>
      </c>
      <c r="O426" s="19" t="s">
        <v>565</v>
      </c>
      <c r="P426" s="19" t="s">
        <v>1144</v>
      </c>
      <c r="Q426" s="19" t="s">
        <v>1989</v>
      </c>
      <c r="R426" s="19" t="s">
        <v>1023</v>
      </c>
      <c r="S426" s="19"/>
      <c r="T426" s="19" t="s">
        <v>52</v>
      </c>
      <c r="U426" s="19" t="s">
        <v>70</v>
      </c>
      <c r="V426" s="19" t="s">
        <v>54</v>
      </c>
      <c r="W426" s="19" t="s">
        <v>81</v>
      </c>
      <c r="X426" s="19"/>
      <c r="Y426" s="19"/>
      <c r="Z426" s="19" t="s">
        <v>1992</v>
      </c>
      <c r="AA426" s="19">
        <v>2</v>
      </c>
      <c r="AB426" s="19">
        <v>2</v>
      </c>
      <c r="AC426" s="19" t="s">
        <v>58</v>
      </c>
      <c r="AD426" s="19" t="s">
        <v>1144</v>
      </c>
      <c r="AE426" s="19" t="s">
        <v>882</v>
      </c>
      <c r="AF426" s="19"/>
    </row>
    <row r="427" spans="1:34">
      <c r="A427" s="19">
        <v>419</v>
      </c>
      <c r="B427" s="19" t="s">
        <v>819</v>
      </c>
      <c r="C427" s="19" t="s">
        <v>563</v>
      </c>
      <c r="D427" s="19" t="str">
        <f>HYPERLINK("http://henontech.com/fieldsafety/harzard/harzard_show.php?rid=4154&amp;url=harzardrecs.php","东一源头休息室插座损坏 操作工使用给对讲机冲电时 不慎触电倒地 送医院抢救无效死亡")</f>
        <v>东一源头休息室插座损坏 操作工使用给对讲机冲电时 不慎触电倒地 送医院抢救无效死亡</v>
      </c>
      <c r="E427" s="19" t="s">
        <v>735</v>
      </c>
      <c r="F427" s="20" t="s">
        <v>42</v>
      </c>
      <c r="G427" s="22" t="s">
        <v>64</v>
      </c>
      <c r="H427" s="19" t="s">
        <v>44</v>
      </c>
      <c r="I427" s="19" t="s">
        <v>119</v>
      </c>
      <c r="J427" s="19" t="s">
        <v>231</v>
      </c>
      <c r="K427" s="19"/>
      <c r="L427" s="19" t="s">
        <v>99</v>
      </c>
      <c r="M427" s="19" t="s">
        <v>565</v>
      </c>
      <c r="N427" s="19" t="s">
        <v>1143</v>
      </c>
      <c r="O427" s="19" t="s">
        <v>565</v>
      </c>
      <c r="P427" s="19" t="s">
        <v>1144</v>
      </c>
      <c r="Q427" s="19" t="s">
        <v>1989</v>
      </c>
      <c r="R427" s="19" t="s">
        <v>1993</v>
      </c>
      <c r="S427" s="19"/>
      <c r="T427" s="19" t="s">
        <v>52</v>
      </c>
      <c r="U427" s="19" t="s">
        <v>53</v>
      </c>
      <c r="V427" s="19" t="s">
        <v>54</v>
      </c>
      <c r="W427" s="19" t="s">
        <v>55</v>
      </c>
      <c r="X427" s="19"/>
      <c r="Y427" s="19"/>
      <c r="Z427" s="19" t="s">
        <v>1994</v>
      </c>
      <c r="AA427" s="19">
        <v>1</v>
      </c>
      <c r="AB427" s="19">
        <v>1</v>
      </c>
      <c r="AC427" s="19" t="s">
        <v>58</v>
      </c>
      <c r="AD427" s="19" t="s">
        <v>1144</v>
      </c>
      <c r="AE427" s="19" t="s">
        <v>882</v>
      </c>
      <c r="AF427" s="19"/>
    </row>
    <row r="428" spans="1:34">
      <c r="A428" s="19">
        <v>420</v>
      </c>
      <c r="B428" s="19" t="s">
        <v>819</v>
      </c>
      <c r="C428" s="19" t="s">
        <v>718</v>
      </c>
      <c r="D428" s="19" t="str">
        <f>HYPERLINK("http://henontech.com/fieldsafety/harzard/harzard_show.php?rid=4157&amp;url=harzardrecs.php","2号风机出口桥架上方有一撬杠，操作工在下方经过时，被坠落的撬杠砸伤头部，造成轻微脑震荡，住院四天后康复出院。")</f>
        <v>2号风机出口桥架上方有一撬杠，操作工在下方经过时，被坠落的撬杠砸伤头部，造成轻微脑震荡，住院四天后康复出院。</v>
      </c>
      <c r="E428" s="19" t="s">
        <v>1995</v>
      </c>
      <c r="F428" s="20" t="s">
        <v>42</v>
      </c>
      <c r="G428" s="22" t="s">
        <v>64</v>
      </c>
      <c r="H428" s="19" t="s">
        <v>44</v>
      </c>
      <c r="I428" s="19" t="s">
        <v>97</v>
      </c>
      <c r="J428" s="19" t="s">
        <v>527</v>
      </c>
      <c r="K428" s="19" t="s">
        <v>98</v>
      </c>
      <c r="L428" s="19" t="s">
        <v>99</v>
      </c>
      <c r="M428" s="19" t="s">
        <v>334</v>
      </c>
      <c r="N428" s="19" t="s">
        <v>1139</v>
      </c>
      <c r="O428" s="19" t="s">
        <v>334</v>
      </c>
      <c r="P428" s="19" t="s">
        <v>346</v>
      </c>
      <c r="Q428" s="19" t="s">
        <v>1967</v>
      </c>
      <c r="R428" s="19" t="s">
        <v>1996</v>
      </c>
      <c r="S428" s="19"/>
      <c r="T428" s="19" t="s">
        <v>52</v>
      </c>
      <c r="U428" s="19" t="s">
        <v>89</v>
      </c>
      <c r="V428" s="19" t="s">
        <v>71</v>
      </c>
      <c r="W428" s="19" t="s">
        <v>55</v>
      </c>
      <c r="X428" s="19"/>
      <c r="Y428" s="19"/>
      <c r="Z428" s="19" t="s">
        <v>1997</v>
      </c>
      <c r="AA428" s="19">
        <v>1</v>
      </c>
      <c r="AB428" s="19">
        <v>1</v>
      </c>
      <c r="AC428" s="19" t="s">
        <v>58</v>
      </c>
      <c r="AD428" s="19" t="s">
        <v>346</v>
      </c>
      <c r="AE428" s="19" t="s">
        <v>888</v>
      </c>
      <c r="AF428" s="19"/>
    </row>
    <row r="429" spans="1:34" customHeight="1" ht="42">
      <c r="A429" s="19">
        <v>421</v>
      </c>
      <c r="B429" s="19" t="s">
        <v>819</v>
      </c>
      <c r="C429" s="19" t="s">
        <v>586</v>
      </c>
      <c r="D429" s="19" t="str">
        <f>HYPERLINK("http://henontech.com/fieldsafety/harzard/harzard_show.php?rid=4159&amp;url=harzardrecs.php","对讲机充电器未拔下，容易引起火灾。")</f>
        <v>对讲机充电器未拔下，容易引起火灾。</v>
      </c>
      <c r="E429" s="19" t="s">
        <v>1998</v>
      </c>
      <c r="F429" s="20" t="s">
        <v>42</v>
      </c>
      <c r="G429" s="22" t="s">
        <v>64</v>
      </c>
      <c r="H429" s="19" t="s">
        <v>44</v>
      </c>
      <c r="I429" s="19" t="s">
        <v>106</v>
      </c>
      <c r="J429" s="19" t="s">
        <v>231</v>
      </c>
      <c r="K429" s="19" t="s">
        <v>170</v>
      </c>
      <c r="L429" s="19"/>
      <c r="M429" s="19" t="s">
        <v>565</v>
      </c>
      <c r="N429" s="19" t="s">
        <v>1999</v>
      </c>
      <c r="O429" s="19" t="s">
        <v>565</v>
      </c>
      <c r="P429" s="19" t="s">
        <v>633</v>
      </c>
      <c r="Q429" s="19" t="s">
        <v>732</v>
      </c>
      <c r="R429" s="19" t="s">
        <v>1232</v>
      </c>
      <c r="S429" s="19"/>
      <c r="T429" s="19" t="s">
        <v>78</v>
      </c>
      <c r="U429" s="19" t="s">
        <v>79</v>
      </c>
      <c r="V429" s="19" t="s">
        <v>80</v>
      </c>
      <c r="W429" s="19" t="s">
        <v>81</v>
      </c>
      <c r="X429" s="19"/>
      <c r="Y429" s="19"/>
      <c r="Z429" s="19" t="s">
        <v>2000</v>
      </c>
      <c r="AA429" s="19">
        <v>2</v>
      </c>
      <c r="AB429" s="19">
        <v>2</v>
      </c>
      <c r="AC429" s="19" t="s">
        <v>58</v>
      </c>
      <c r="AD429" s="19" t="s">
        <v>633</v>
      </c>
      <c r="AE429" s="19" t="s">
        <v>732</v>
      </c>
      <c r="AF429" s="19"/>
    </row>
    <row r="430" spans="1:34" customHeight="1" ht="42">
      <c r="A430" s="19">
        <v>422</v>
      </c>
      <c r="B430" s="19" t="s">
        <v>819</v>
      </c>
      <c r="C430" s="19" t="s">
        <v>563</v>
      </c>
      <c r="D430" s="19" t="str">
        <f>HYPERLINK("http://henontech.com/fieldsafety/harzard/harzard_show.php?rid=4160&amp;url=harzardrecs.php","一操作工清理卫生时，卸料车刮煤板把手断裂砸伤脚面，送医治疗小拇指骨折，在家修养15天后复工")</f>
        <v>一操作工清理卫生时，卸料车刮煤板把手断裂砸伤脚面，送医治疗小拇指骨折，在家修养15天后复工</v>
      </c>
      <c r="E430" s="19" t="s">
        <v>2001</v>
      </c>
      <c r="F430" s="20" t="s">
        <v>42</v>
      </c>
      <c r="G430" s="21" t="s">
        <v>43</v>
      </c>
      <c r="H430" s="19" t="s">
        <v>44</v>
      </c>
      <c r="I430" s="19" t="s">
        <v>532</v>
      </c>
      <c r="J430" s="19" t="s">
        <v>527</v>
      </c>
      <c r="K430" s="19" t="s">
        <v>98</v>
      </c>
      <c r="L430" s="19"/>
      <c r="M430" s="19" t="s">
        <v>565</v>
      </c>
      <c r="N430" s="19" t="s">
        <v>2002</v>
      </c>
      <c r="O430" s="19" t="s">
        <v>565</v>
      </c>
      <c r="P430" s="19" t="s">
        <v>633</v>
      </c>
      <c r="Q430" s="19" t="s">
        <v>1166</v>
      </c>
      <c r="R430" s="19" t="s">
        <v>2003</v>
      </c>
      <c r="S430" s="19"/>
      <c r="T430" s="19" t="s">
        <v>52</v>
      </c>
      <c r="U430" s="19" t="s">
        <v>70</v>
      </c>
      <c r="V430" s="19" t="s">
        <v>124</v>
      </c>
      <c r="W430" s="19" t="s">
        <v>81</v>
      </c>
      <c r="X430" s="19" t="s">
        <v>323</v>
      </c>
      <c r="Y430" s="19" t="s">
        <v>323</v>
      </c>
      <c r="Z430" s="19" t="s">
        <v>2004</v>
      </c>
      <c r="AA430" s="19">
        <v>2</v>
      </c>
      <c r="AB430" s="19">
        <v>2</v>
      </c>
      <c r="AC430" s="19" t="s">
        <v>58</v>
      </c>
      <c r="AD430" s="19" t="s">
        <v>633</v>
      </c>
      <c r="AE430" s="19" t="s">
        <v>732</v>
      </c>
      <c r="AF430" s="19"/>
    </row>
    <row r="431" spans="1:34">
      <c r="A431" s="19">
        <v>423</v>
      </c>
      <c r="B431" s="19" t="s">
        <v>882</v>
      </c>
      <c r="C431" s="19" t="s">
        <v>2005</v>
      </c>
      <c r="D431" s="19" t="str">
        <f>HYPERLINK("http://henontech.com/fieldsafety/harzard/harzard_show.php?rid=4162&amp;url=harzardrecs.php","一名职工在煤厂西侧水沟处拔草因水沟盖板质量差而断裂导致一名职工腿部磕伤脚部崴伤")</f>
        <v>一名职工在煤厂西侧水沟处拔草因水沟盖板质量差而断裂导致一名职工腿部磕伤脚部崴伤</v>
      </c>
      <c r="E431" s="19" t="s">
        <v>2006</v>
      </c>
      <c r="F431" s="23" t="s">
        <v>96</v>
      </c>
      <c r="G431" s="22" t="s">
        <v>64</v>
      </c>
      <c r="H431" s="19" t="s">
        <v>44</v>
      </c>
      <c r="I431" s="19" t="s">
        <v>119</v>
      </c>
      <c r="J431" s="19" t="s">
        <v>45</v>
      </c>
      <c r="K431" s="19" t="s">
        <v>108</v>
      </c>
      <c r="L431" s="19" t="s">
        <v>177</v>
      </c>
      <c r="M431" s="19" t="s">
        <v>663</v>
      </c>
      <c r="N431" s="19" t="s">
        <v>2007</v>
      </c>
      <c r="O431" s="19"/>
      <c r="P431" s="19"/>
      <c r="Q431" s="19"/>
      <c r="R431" s="19" t="s">
        <v>2008</v>
      </c>
      <c r="S431" s="19" t="s">
        <v>2009</v>
      </c>
      <c r="T431" s="19" t="s">
        <v>52</v>
      </c>
      <c r="U431" s="19" t="s">
        <v>70</v>
      </c>
      <c r="V431" s="19" t="s">
        <v>80</v>
      </c>
      <c r="W431" s="19" t="s">
        <v>55</v>
      </c>
      <c r="X431" s="19"/>
      <c r="Y431" s="19"/>
      <c r="Z431" s="19"/>
      <c r="AA431" s="19">
        <v>0</v>
      </c>
      <c r="AB431" s="19"/>
      <c r="AC431" s="19" t="s">
        <v>103</v>
      </c>
      <c r="AD431" s="19"/>
      <c r="AE431" s="19"/>
      <c r="AF431" s="19"/>
    </row>
    <row r="432" spans="1:34">
      <c r="A432" s="19">
        <v>424</v>
      </c>
      <c r="B432" s="19" t="s">
        <v>882</v>
      </c>
      <c r="C432" s="19" t="s">
        <v>869</v>
      </c>
      <c r="D432" s="19" t="str">
        <f>HYPERLINK("http://henontech.com/fieldsafety/harzard/harzard_show.php?rid=4163&amp;url=harzardrecs.php","废水回水坑无盖板操作失误掉入坑内造成操作工腿部扭伤。")</f>
        <v>废水回水坑无盖板操作失误掉入坑内造成操作工腿部扭伤。</v>
      </c>
      <c r="E432" s="19" t="s">
        <v>2010</v>
      </c>
      <c r="F432" s="20" t="s">
        <v>42</v>
      </c>
      <c r="G432" s="22" t="s">
        <v>64</v>
      </c>
      <c r="H432" s="19" t="s">
        <v>44</v>
      </c>
      <c r="I432" s="19"/>
      <c r="J432" s="19" t="s">
        <v>45</v>
      </c>
      <c r="K432" s="19" t="s">
        <v>170</v>
      </c>
      <c r="L432" s="19"/>
      <c r="M432" s="19" t="s">
        <v>334</v>
      </c>
      <c r="N432" s="19" t="s">
        <v>2011</v>
      </c>
      <c r="O432" s="19" t="s">
        <v>334</v>
      </c>
      <c r="P432" s="19" t="s">
        <v>346</v>
      </c>
      <c r="Q432" s="19" t="s">
        <v>2012</v>
      </c>
      <c r="R432" s="19" t="s">
        <v>2013</v>
      </c>
      <c r="S432" s="19"/>
      <c r="T432" s="19" t="s">
        <v>52</v>
      </c>
      <c r="U432" s="19" t="s">
        <v>89</v>
      </c>
      <c r="V432" s="19" t="s">
        <v>124</v>
      </c>
      <c r="W432" s="19" t="s">
        <v>81</v>
      </c>
      <c r="X432" s="19"/>
      <c r="Y432" s="19"/>
      <c r="Z432" s="19" t="s">
        <v>2014</v>
      </c>
      <c r="AA432" s="19">
        <v>1</v>
      </c>
      <c r="AB432" s="19">
        <v>1</v>
      </c>
      <c r="AC432" s="19" t="s">
        <v>58</v>
      </c>
      <c r="AD432" s="19" t="s">
        <v>346</v>
      </c>
      <c r="AE432" s="19" t="s">
        <v>888</v>
      </c>
      <c r="AF432" s="19"/>
    </row>
    <row r="433" spans="1:34">
      <c r="A433" s="19">
        <v>425</v>
      </c>
      <c r="B433" s="19" t="s">
        <v>882</v>
      </c>
      <c r="C433" s="19" t="s">
        <v>837</v>
      </c>
      <c r="D433" s="19" t="str">
        <f>HYPERLINK("http://henontech.com/fieldsafety/harzard/harzard_show.php?rid=4168&amp;url=harzardrecs.php","硫酸储槽北洗眼器损坏拆除未及时安装新的洗眼器，假设一名操作工在打碱液时液碱管道破损喷溅到操作人身上，造成操作工不能及时清洗身体大面积灼烫。")</f>
        <v>硫酸储槽北洗眼器损坏拆除未及时安装新的洗眼器，假设一名操作工在打碱液时液碱管道破损喷溅到操作人身上，造成操作工不能及时清洗身体大面积灼烫。</v>
      </c>
      <c r="E433" s="19" t="s">
        <v>2015</v>
      </c>
      <c r="F433" s="20" t="s">
        <v>42</v>
      </c>
      <c r="G433" s="22" t="s">
        <v>64</v>
      </c>
      <c r="H433" s="19" t="s">
        <v>44</v>
      </c>
      <c r="I433" s="19" t="s">
        <v>119</v>
      </c>
      <c r="J433" s="19" t="s">
        <v>45</v>
      </c>
      <c r="K433" s="19" t="s">
        <v>108</v>
      </c>
      <c r="L433" s="19" t="s">
        <v>99</v>
      </c>
      <c r="M433" s="19" t="s">
        <v>334</v>
      </c>
      <c r="N433" s="19" t="s">
        <v>2016</v>
      </c>
      <c r="O433" s="19" t="s">
        <v>334</v>
      </c>
      <c r="P433" s="19" t="s">
        <v>346</v>
      </c>
      <c r="Q433" s="19" t="s">
        <v>926</v>
      </c>
      <c r="R433" s="19" t="s">
        <v>356</v>
      </c>
      <c r="S433" s="19"/>
      <c r="T433" s="19" t="s">
        <v>52</v>
      </c>
      <c r="U433" s="19" t="s">
        <v>89</v>
      </c>
      <c r="V433" s="19" t="s">
        <v>71</v>
      </c>
      <c r="W433" s="19" t="s">
        <v>55</v>
      </c>
      <c r="X433" s="19"/>
      <c r="Y433" s="19"/>
      <c r="Z433" s="19" t="s">
        <v>2017</v>
      </c>
      <c r="AA433" s="19">
        <v>1</v>
      </c>
      <c r="AB433" s="19">
        <v>1</v>
      </c>
      <c r="AC433" s="19" t="s">
        <v>58</v>
      </c>
      <c r="AD433" s="19" t="s">
        <v>346</v>
      </c>
      <c r="AE433" s="19" t="s">
        <v>724</v>
      </c>
      <c r="AF433" s="19"/>
    </row>
    <row r="434" spans="1:34" customHeight="1" ht="42">
      <c r="A434" s="19">
        <v>426</v>
      </c>
      <c r="B434" s="19" t="s">
        <v>882</v>
      </c>
      <c r="C434" s="19" t="s">
        <v>578</v>
      </c>
      <c r="D434" s="19" t="str">
        <f>HYPERLINK("http://henontech.com/fieldsafety/harzard/harzard_show.php?rid=4173&amp;url=harzardrecs.php","一操作工巡检时脚下打滑摔倒，因此处皮带缺失防护栏，手搭在皮带上划破皮，休息一会，继续上班。")</f>
        <v>一操作工巡检时脚下打滑摔倒，因此处皮带缺失防护栏，手搭在皮带上划破皮，休息一会，继续上班。</v>
      </c>
      <c r="E434" s="19" t="s">
        <v>2018</v>
      </c>
      <c r="F434" s="20" t="s">
        <v>42</v>
      </c>
      <c r="G434" s="21" t="s">
        <v>43</v>
      </c>
      <c r="H434" s="19" t="s">
        <v>44</v>
      </c>
      <c r="I434" s="19"/>
      <c r="J434" s="19" t="s">
        <v>45</v>
      </c>
      <c r="K434" s="19"/>
      <c r="L434" s="19" t="s">
        <v>99</v>
      </c>
      <c r="M434" s="19" t="s">
        <v>565</v>
      </c>
      <c r="N434" s="19" t="s">
        <v>2019</v>
      </c>
      <c r="O434" s="19" t="s">
        <v>565</v>
      </c>
      <c r="P434" s="19" t="s">
        <v>633</v>
      </c>
      <c r="Q434" s="19" t="s">
        <v>2020</v>
      </c>
      <c r="R434" s="19" t="s">
        <v>2021</v>
      </c>
      <c r="S434" s="19"/>
      <c r="T434" s="19" t="s">
        <v>52</v>
      </c>
      <c r="U434" s="19" t="s">
        <v>79</v>
      </c>
      <c r="V434" s="19" t="s">
        <v>54</v>
      </c>
      <c r="W434" s="19" t="s">
        <v>81</v>
      </c>
      <c r="X434" s="19" t="s">
        <v>323</v>
      </c>
      <c r="Y434" s="19" t="s">
        <v>323</v>
      </c>
      <c r="Z434" s="19" t="s">
        <v>2022</v>
      </c>
      <c r="AA434" s="19">
        <v>2</v>
      </c>
      <c r="AB434" s="19">
        <v>2</v>
      </c>
      <c r="AC434" s="19" t="s">
        <v>58</v>
      </c>
      <c r="AD434" s="19" t="s">
        <v>633</v>
      </c>
      <c r="AE434" s="19" t="s">
        <v>732</v>
      </c>
      <c r="AF434" s="19"/>
    </row>
    <row r="435" spans="1:34">
      <c r="A435" s="19">
        <v>427</v>
      </c>
      <c r="B435" s="19" t="s">
        <v>882</v>
      </c>
      <c r="C435" s="19" t="s">
        <v>981</v>
      </c>
      <c r="D435" s="19" t="str">
        <f>HYPERLINK("http://henontech.com/fieldsafety/harzard/harzard_show.php?rid=4174&amp;url=harzardrecs.php","一名操作工在巡检过程中，经过此处时因电缆线杂乱摩擦破皮导致触电身亡")</f>
        <v>一名操作工在巡检过程中，经过此处时因电缆线杂乱摩擦破皮导致触电身亡</v>
      </c>
      <c r="E435" s="19" t="s">
        <v>2023</v>
      </c>
      <c r="F435" s="20" t="s">
        <v>42</v>
      </c>
      <c r="G435" s="22" t="s">
        <v>64</v>
      </c>
      <c r="H435" s="19" t="s">
        <v>44</v>
      </c>
      <c r="I435" s="19" t="s">
        <v>97</v>
      </c>
      <c r="J435" s="19" t="s">
        <v>231</v>
      </c>
      <c r="K435" s="19" t="s">
        <v>108</v>
      </c>
      <c r="L435" s="19"/>
      <c r="M435" s="19" t="s">
        <v>232</v>
      </c>
      <c r="N435" s="19" t="s">
        <v>2024</v>
      </c>
      <c r="O435" s="19" t="s">
        <v>232</v>
      </c>
      <c r="P435" s="19" t="s">
        <v>234</v>
      </c>
      <c r="Q435" s="19" t="s">
        <v>1697</v>
      </c>
      <c r="R435" s="19" t="s">
        <v>2025</v>
      </c>
      <c r="S435" s="19"/>
      <c r="T435" s="19" t="s">
        <v>52</v>
      </c>
      <c r="U435" s="19" t="s">
        <v>53</v>
      </c>
      <c r="V435" s="19" t="s">
        <v>54</v>
      </c>
      <c r="W435" s="19" t="s">
        <v>55</v>
      </c>
      <c r="X435" s="19" t="s">
        <v>73</v>
      </c>
      <c r="Y435" s="19" t="s">
        <v>73</v>
      </c>
      <c r="Z435" s="19" t="s">
        <v>2026</v>
      </c>
      <c r="AA435" s="19">
        <v>1</v>
      </c>
      <c r="AB435" s="19">
        <v>1</v>
      </c>
      <c r="AC435" s="19" t="s">
        <v>58</v>
      </c>
      <c r="AD435" s="19" t="s">
        <v>234</v>
      </c>
      <c r="AE435" s="19" t="s">
        <v>1700</v>
      </c>
      <c r="AF435" s="19"/>
    </row>
    <row r="436" spans="1:34">
      <c r="A436" s="19">
        <v>428</v>
      </c>
      <c r="B436" s="19" t="s">
        <v>724</v>
      </c>
      <c r="C436" s="19" t="s">
        <v>1743</v>
      </c>
      <c r="D436" s="19" t="str">
        <f>HYPERLINK("http://henontech.com/fieldsafety/harzard/harzard_show.php?rid=4177&amp;url=harzardrecs.php","凉水架上电缆桥架盖板未固定，大风天气下会被吹落，如果巡检人员从下方经过会被吹落的桥架盖板砸到")</f>
        <v>凉水架上电缆桥架盖板未固定，大风天气下会被吹落，如果巡检人员从下方经过会被吹落的桥架盖板砸到</v>
      </c>
      <c r="E436" s="19" t="s">
        <v>2027</v>
      </c>
      <c r="F436" s="25" t="s">
        <v>828</v>
      </c>
      <c r="G436" s="22" t="s">
        <v>64</v>
      </c>
      <c r="H436" s="19" t="s">
        <v>44</v>
      </c>
      <c r="I436" s="19"/>
      <c r="J436" s="19" t="s">
        <v>45</v>
      </c>
      <c r="K436" s="19" t="s">
        <v>108</v>
      </c>
      <c r="L436" s="19"/>
      <c r="M436" s="19" t="s">
        <v>334</v>
      </c>
      <c r="N436" s="19" t="s">
        <v>516</v>
      </c>
      <c r="O436" s="19" t="s">
        <v>334</v>
      </c>
      <c r="P436" s="19" t="s">
        <v>346</v>
      </c>
      <c r="Q436" s="19" t="s">
        <v>926</v>
      </c>
      <c r="R436" s="19" t="s">
        <v>2028</v>
      </c>
      <c r="S436" s="19"/>
      <c r="T436" s="19" t="s">
        <v>52</v>
      </c>
      <c r="U436" s="19" t="s">
        <v>89</v>
      </c>
      <c r="V436" s="19" t="s">
        <v>54</v>
      </c>
      <c r="W436" s="19" t="s">
        <v>72</v>
      </c>
      <c r="X436" s="19"/>
      <c r="Y436" s="19"/>
      <c r="Z436" s="19" t="s">
        <v>2029</v>
      </c>
      <c r="AA436" s="19">
        <v>1</v>
      </c>
      <c r="AB436" s="19"/>
      <c r="AC436" s="19" t="s">
        <v>103</v>
      </c>
      <c r="AD436" s="19"/>
      <c r="AE436" s="19"/>
      <c r="AF436" s="19"/>
    </row>
    <row r="437" spans="1:34" customHeight="1" ht="42">
      <c r="A437" s="19">
        <v>429</v>
      </c>
      <c r="B437" s="19" t="s">
        <v>882</v>
      </c>
      <c r="C437" s="19" t="s">
        <v>578</v>
      </c>
      <c r="D437" s="19" t="str">
        <f>HYPERLINK("http://henontech.com/fieldsafety/harzard/harzard_show.php?rid=4180&amp;url=harzardrecs.php","西四耙子开焊，皮带运行中容易造成皮带划伤设备事故。")</f>
        <v>西四耙子开焊，皮带运行中容易造成皮带划伤设备事故。</v>
      </c>
      <c r="E437" s="19" t="s">
        <v>2030</v>
      </c>
      <c r="F437" s="20" t="s">
        <v>42</v>
      </c>
      <c r="G437" s="21" t="s">
        <v>43</v>
      </c>
      <c r="H437" s="19" t="s">
        <v>44</v>
      </c>
      <c r="I437" s="19" t="s">
        <v>97</v>
      </c>
      <c r="J437" s="19" t="s">
        <v>45</v>
      </c>
      <c r="K437" s="19" t="s">
        <v>98</v>
      </c>
      <c r="L437" s="19" t="s">
        <v>99</v>
      </c>
      <c r="M437" s="19" t="s">
        <v>565</v>
      </c>
      <c r="N437" s="19" t="s">
        <v>2031</v>
      </c>
      <c r="O437" s="19" t="s">
        <v>565</v>
      </c>
      <c r="P437" s="19" t="s">
        <v>633</v>
      </c>
      <c r="Q437" s="19" t="s">
        <v>2020</v>
      </c>
      <c r="R437" s="19" t="s">
        <v>1023</v>
      </c>
      <c r="S437" s="19"/>
      <c r="T437" s="19" t="s">
        <v>78</v>
      </c>
      <c r="U437" s="19" t="s">
        <v>79</v>
      </c>
      <c r="V437" s="19" t="s">
        <v>54</v>
      </c>
      <c r="W437" s="19" t="s">
        <v>81</v>
      </c>
      <c r="X437" s="19" t="s">
        <v>323</v>
      </c>
      <c r="Y437" s="19" t="s">
        <v>323</v>
      </c>
      <c r="Z437" s="19" t="s">
        <v>2032</v>
      </c>
      <c r="AA437" s="19">
        <v>2</v>
      </c>
      <c r="AB437" s="19">
        <v>2</v>
      </c>
      <c r="AC437" s="19" t="s">
        <v>58</v>
      </c>
      <c r="AD437" s="19" t="s">
        <v>633</v>
      </c>
      <c r="AE437" s="19" t="s">
        <v>732</v>
      </c>
      <c r="AF437" s="19"/>
    </row>
    <row r="438" spans="1:34">
      <c r="A438" s="19">
        <v>430</v>
      </c>
      <c r="B438" s="19" t="s">
        <v>882</v>
      </c>
      <c r="C438" s="19" t="s">
        <v>586</v>
      </c>
      <c r="D438" s="19" t="str">
        <f>HYPERLINK("http://henontech.com/fieldsafety/harzard/harzard_show.php?rid=4182&amp;url=harzardrecs.php","一操作工在清理完西五下料桶时用完的钳子倾斜放在下料口，巡检人员经过下料口时被其绊倒，造成左手手臂擦伤，休息三十分钟后继续工作。")</f>
        <v>一操作工在清理完西五下料桶时用完的钳子倾斜放在下料口，巡检人员经过下料口时被其绊倒，造成左手手臂擦伤，休息三十分钟后继续工作。</v>
      </c>
      <c r="E438" s="19" t="s">
        <v>2033</v>
      </c>
      <c r="F438" s="20" t="s">
        <v>42</v>
      </c>
      <c r="G438" s="22" t="s">
        <v>64</v>
      </c>
      <c r="H438" s="19" t="s">
        <v>44</v>
      </c>
      <c r="I438" s="19" t="s">
        <v>119</v>
      </c>
      <c r="J438" s="19"/>
      <c r="K438" s="19"/>
      <c r="L438" s="19" t="s">
        <v>99</v>
      </c>
      <c r="M438" s="19" t="s">
        <v>565</v>
      </c>
      <c r="N438" s="19" t="s">
        <v>2034</v>
      </c>
      <c r="O438" s="19" t="s">
        <v>565</v>
      </c>
      <c r="P438" s="19" t="s">
        <v>566</v>
      </c>
      <c r="Q438" s="19" t="s">
        <v>926</v>
      </c>
      <c r="R438" s="19" t="s">
        <v>2035</v>
      </c>
      <c r="S438" s="19"/>
      <c r="T438" s="19" t="s">
        <v>52</v>
      </c>
      <c r="U438" s="19" t="s">
        <v>70</v>
      </c>
      <c r="V438" s="19" t="s">
        <v>54</v>
      </c>
      <c r="W438" s="19" t="s">
        <v>81</v>
      </c>
      <c r="X438" s="19"/>
      <c r="Y438" s="19"/>
      <c r="Z438" s="19" t="s">
        <v>2036</v>
      </c>
      <c r="AA438" s="19">
        <v>1</v>
      </c>
      <c r="AB438" s="19">
        <v>1</v>
      </c>
      <c r="AC438" s="19" t="s">
        <v>58</v>
      </c>
      <c r="AD438" s="19" t="s">
        <v>566</v>
      </c>
      <c r="AE438" s="19" t="s">
        <v>724</v>
      </c>
      <c r="AF438" s="19"/>
    </row>
    <row r="439" spans="1:34">
      <c r="A439" s="19">
        <v>431</v>
      </c>
      <c r="B439" s="19" t="s">
        <v>882</v>
      </c>
      <c r="C439" s="19" t="s">
        <v>563</v>
      </c>
      <c r="D439" s="19" t="str">
        <f>HYPERLINK("http://henontech.com/fieldsafety/harzard/harzard_show.php?rid=4183&amp;url=harzardrecs.php","东五操作室旁边沉淀池，在清理完后盖板放置不到位，岗位人员巡检过程中脚踩盖板，盖板反转右脚掉入沉淀池内，送医院检查：右脚脚踝扭伤，住院5天，在家休养1个月")</f>
        <v>东五操作室旁边沉淀池，在清理完后盖板放置不到位，岗位人员巡检过程中脚踩盖板，盖板反转右脚掉入沉淀池内，送医院检查：右脚脚踝扭伤，住院5天，在家休养1个月</v>
      </c>
      <c r="E439" s="19" t="s">
        <v>2037</v>
      </c>
      <c r="F439" s="20" t="s">
        <v>42</v>
      </c>
      <c r="G439" s="22" t="s">
        <v>64</v>
      </c>
      <c r="H439" s="19" t="s">
        <v>44</v>
      </c>
      <c r="I439" s="19" t="s">
        <v>119</v>
      </c>
      <c r="J439" s="19"/>
      <c r="K439" s="19"/>
      <c r="L439" s="19" t="s">
        <v>99</v>
      </c>
      <c r="M439" s="19" t="s">
        <v>565</v>
      </c>
      <c r="N439" s="19" t="s">
        <v>2038</v>
      </c>
      <c r="O439" s="19" t="s">
        <v>565</v>
      </c>
      <c r="P439" s="19" t="s">
        <v>566</v>
      </c>
      <c r="Q439" s="19" t="s">
        <v>926</v>
      </c>
      <c r="R439" s="19" t="s">
        <v>2039</v>
      </c>
      <c r="S439" s="19"/>
      <c r="T439" s="19" t="s">
        <v>52</v>
      </c>
      <c r="U439" s="19" t="s">
        <v>89</v>
      </c>
      <c r="V439" s="19" t="s">
        <v>71</v>
      </c>
      <c r="W439" s="19" t="s">
        <v>55</v>
      </c>
      <c r="X439" s="19"/>
      <c r="Y439" s="19"/>
      <c r="Z439" s="19" t="s">
        <v>2040</v>
      </c>
      <c r="AA439" s="19">
        <v>1</v>
      </c>
      <c r="AB439" s="19">
        <v>1</v>
      </c>
      <c r="AC439" s="19" t="s">
        <v>58</v>
      </c>
      <c r="AD439" s="19" t="s">
        <v>566</v>
      </c>
      <c r="AE439" s="19" t="s">
        <v>724</v>
      </c>
      <c r="AF439" s="19"/>
    </row>
    <row r="440" spans="1:34" customHeight="1" ht="42">
      <c r="A440" s="19">
        <v>432</v>
      </c>
      <c r="B440" s="19" t="s">
        <v>882</v>
      </c>
      <c r="C440" s="19" t="s">
        <v>578</v>
      </c>
      <c r="D440" s="19" t="str">
        <f>HYPERLINK("http://henontech.com/fieldsafety/harzard/harzard_show.php?rid=4187&amp;url=harzardrecs.php","西一2#给料机挡皮磨损严重，漏煤，运行中造成皮带偏带撕裂事故")</f>
        <v>西一2#给料机挡皮磨损严重，漏煤，运行中造成皮带偏带撕裂事故</v>
      </c>
      <c r="E440" s="19" t="s">
        <v>2041</v>
      </c>
      <c r="F440" s="20" t="s">
        <v>42</v>
      </c>
      <c r="G440" s="22" t="s">
        <v>64</v>
      </c>
      <c r="H440" s="19" t="s">
        <v>44</v>
      </c>
      <c r="I440" s="19" t="s">
        <v>97</v>
      </c>
      <c r="J440" s="19" t="s">
        <v>45</v>
      </c>
      <c r="K440" s="19" t="s">
        <v>98</v>
      </c>
      <c r="L440" s="19" t="s">
        <v>99</v>
      </c>
      <c r="M440" s="19" t="s">
        <v>565</v>
      </c>
      <c r="N440" s="19" t="s">
        <v>1897</v>
      </c>
      <c r="O440" s="19" t="s">
        <v>565</v>
      </c>
      <c r="P440" s="19" t="s">
        <v>633</v>
      </c>
      <c r="Q440" s="19" t="s">
        <v>1166</v>
      </c>
      <c r="R440" s="19" t="s">
        <v>2042</v>
      </c>
      <c r="S440" s="19"/>
      <c r="T440" s="19" t="s">
        <v>78</v>
      </c>
      <c r="U440" s="19" t="s">
        <v>79</v>
      </c>
      <c r="V440" s="19" t="s">
        <v>54</v>
      </c>
      <c r="W440" s="19" t="s">
        <v>81</v>
      </c>
      <c r="X440" s="19" t="s">
        <v>323</v>
      </c>
      <c r="Y440" s="19" t="s">
        <v>323</v>
      </c>
      <c r="Z440" s="19" t="s">
        <v>2043</v>
      </c>
      <c r="AA440" s="19">
        <v>2</v>
      </c>
      <c r="AB440" s="19">
        <v>2</v>
      </c>
      <c r="AC440" s="19" t="s">
        <v>58</v>
      </c>
      <c r="AD440" s="19" t="s">
        <v>633</v>
      </c>
      <c r="AE440" s="19" t="s">
        <v>732</v>
      </c>
      <c r="AF440" s="19"/>
    </row>
    <row r="441" spans="1:34" customHeight="1" ht="42">
      <c r="A441" s="19">
        <v>433</v>
      </c>
      <c r="B441" s="19" t="s">
        <v>882</v>
      </c>
      <c r="C441" s="19" t="s">
        <v>2044</v>
      </c>
      <c r="D441" s="19" t="str">
        <f>HYPERLINK("http://henontech.com/fieldsafety/harzard/harzard_show.php?rid=4190&amp;url=harzardrecs.php","一名巡检工巡检至2#循环水泵处时由于地面电缆散落，导致巡检工绊倒，致使左手手面挫伤，简单处理包扎后，继续工作。。")</f>
        <v>一名巡检工巡检至2#循环水泵处时由于地面电缆散落，导致巡检工绊倒，致使左手手面挫伤，简单处理包扎后，继续工作。。</v>
      </c>
      <c r="E441" s="19" t="s">
        <v>2045</v>
      </c>
      <c r="F441" s="25" t="s">
        <v>828</v>
      </c>
      <c r="G441" s="22" t="s">
        <v>64</v>
      </c>
      <c r="H441" s="19" t="s">
        <v>44</v>
      </c>
      <c r="I441" s="19"/>
      <c r="J441" s="19" t="s">
        <v>45</v>
      </c>
      <c r="K441" s="19" t="s">
        <v>108</v>
      </c>
      <c r="L441" s="19" t="s">
        <v>99</v>
      </c>
      <c r="M441" s="19" t="s">
        <v>663</v>
      </c>
      <c r="N441" s="19" t="s">
        <v>859</v>
      </c>
      <c r="O441" s="19" t="s">
        <v>663</v>
      </c>
      <c r="P441" s="19" t="s">
        <v>925</v>
      </c>
      <c r="Q441" s="19" t="s">
        <v>926</v>
      </c>
      <c r="R441" s="19" t="s">
        <v>2046</v>
      </c>
      <c r="S441" s="19"/>
      <c r="T441" s="19" t="s">
        <v>52</v>
      </c>
      <c r="U441" s="19" t="s">
        <v>79</v>
      </c>
      <c r="V441" s="19" t="s">
        <v>71</v>
      </c>
      <c r="W441" s="19" t="s">
        <v>81</v>
      </c>
      <c r="X441" s="19" t="s">
        <v>73</v>
      </c>
      <c r="Y441" s="19"/>
      <c r="Z441" s="19" t="s">
        <v>2047</v>
      </c>
      <c r="AA441" s="19">
        <v>2</v>
      </c>
      <c r="AB441" s="19"/>
      <c r="AC441" s="19" t="s">
        <v>103</v>
      </c>
      <c r="AD441" s="19"/>
      <c r="AE441" s="19"/>
      <c r="AF441" s="19"/>
    </row>
    <row r="442" spans="1:34">
      <c r="A442" s="19">
        <v>434</v>
      </c>
      <c r="B442" s="19" t="s">
        <v>882</v>
      </c>
      <c r="C442" s="19" t="s">
        <v>2048</v>
      </c>
      <c r="D442" s="19" t="str">
        <f>HYPERLINK("http://henontech.com/fieldsafety/harzard/harzard_show.php?rid=4191&amp;url=harzardrecs.php","杰富意来压缩空气阀门过高，无爬梯。一名操作工切换压缩空气时不慎从上方跌落，造成脚部扭伤，同事送至操作室休息一小时，后复工")</f>
        <v>杰富意来压缩空气阀门过高，无爬梯。一名操作工切换压缩空气时不慎从上方跌落，造成脚部扭伤，同事送至操作室休息一小时，后复工</v>
      </c>
      <c r="E442" s="19" t="s">
        <v>2049</v>
      </c>
      <c r="F442" s="23" t="s">
        <v>96</v>
      </c>
      <c r="G442" s="22" t="s">
        <v>64</v>
      </c>
      <c r="H442" s="19" t="s">
        <v>44</v>
      </c>
      <c r="I442" s="19" t="s">
        <v>119</v>
      </c>
      <c r="J442" s="19" t="s">
        <v>45</v>
      </c>
      <c r="K442" s="19" t="s">
        <v>216</v>
      </c>
      <c r="L442" s="19" t="s">
        <v>99</v>
      </c>
      <c r="M442" s="19" t="s">
        <v>663</v>
      </c>
      <c r="N442" s="19" t="s">
        <v>2050</v>
      </c>
      <c r="O442" s="19"/>
      <c r="P442" s="19"/>
      <c r="Q442" s="19"/>
      <c r="R442" s="19" t="s">
        <v>2051</v>
      </c>
      <c r="S442" s="19" t="s">
        <v>2052</v>
      </c>
      <c r="T442" s="19" t="s">
        <v>52</v>
      </c>
      <c r="U442" s="19" t="s">
        <v>70</v>
      </c>
      <c r="V442" s="19" t="s">
        <v>71</v>
      </c>
      <c r="W442" s="19" t="s">
        <v>72</v>
      </c>
      <c r="X442" s="19"/>
      <c r="Y442" s="19"/>
      <c r="Z442" s="19"/>
      <c r="AA442" s="19">
        <v>0</v>
      </c>
      <c r="AB442" s="19"/>
      <c r="AC442" s="19" t="s">
        <v>103</v>
      </c>
      <c r="AD442" s="19"/>
      <c r="AE442" s="19"/>
      <c r="AF442" s="19"/>
    </row>
    <row r="443" spans="1:34">
      <c r="A443" s="19">
        <v>435</v>
      </c>
      <c r="B443" s="19" t="s">
        <v>882</v>
      </c>
      <c r="C443" s="19" t="s">
        <v>563</v>
      </c>
      <c r="D443" s="19" t="str">
        <f>HYPERLINK("http://henontech.com/fieldsafety/harzard/harzard_show.php?rid=4192&amp;url=harzardrecs.php","东四南侧吊装门没按要求关闭，一扇门敞开后挡在爬梯上部，一员工经过爬梯时头部碰到门上，跌落爬梯造成右脚脚踝错位，住院10天，在家休养2个月")</f>
        <v>东四南侧吊装门没按要求关闭，一扇门敞开后挡在爬梯上部，一员工经过爬梯时头部碰到门上，跌落爬梯造成右脚脚踝错位，住院10天，在家休养2个月</v>
      </c>
      <c r="E443" s="19" t="s">
        <v>2053</v>
      </c>
      <c r="F443" s="20" t="s">
        <v>42</v>
      </c>
      <c r="G443" s="22" t="s">
        <v>64</v>
      </c>
      <c r="H443" s="19" t="s">
        <v>44</v>
      </c>
      <c r="I443" s="19" t="s">
        <v>119</v>
      </c>
      <c r="J443" s="19"/>
      <c r="K443" s="19"/>
      <c r="L443" s="19" t="s">
        <v>99</v>
      </c>
      <c r="M443" s="19" t="s">
        <v>565</v>
      </c>
      <c r="N443" s="19" t="s">
        <v>2054</v>
      </c>
      <c r="O443" s="19" t="s">
        <v>565</v>
      </c>
      <c r="P443" s="19" t="s">
        <v>566</v>
      </c>
      <c r="Q443" s="19" t="s">
        <v>926</v>
      </c>
      <c r="R443" s="19" t="s">
        <v>1317</v>
      </c>
      <c r="S443" s="19"/>
      <c r="T443" s="19" t="s">
        <v>52</v>
      </c>
      <c r="U443" s="19" t="s">
        <v>89</v>
      </c>
      <c r="V443" s="19" t="s">
        <v>71</v>
      </c>
      <c r="W443" s="19" t="s">
        <v>55</v>
      </c>
      <c r="X443" s="19"/>
      <c r="Y443" s="19"/>
      <c r="Z443" s="19" t="s">
        <v>2055</v>
      </c>
      <c r="AA443" s="19">
        <v>1</v>
      </c>
      <c r="AB443" s="19">
        <v>1</v>
      </c>
      <c r="AC443" s="19" t="s">
        <v>58</v>
      </c>
      <c r="AD443" s="19" t="s">
        <v>566</v>
      </c>
      <c r="AE443" s="19" t="s">
        <v>724</v>
      </c>
      <c r="AF443" s="19"/>
    </row>
    <row r="444" spans="1:34">
      <c r="A444" s="19">
        <v>436</v>
      </c>
      <c r="B444" s="19" t="s">
        <v>724</v>
      </c>
      <c r="C444" s="19" t="s">
        <v>981</v>
      </c>
      <c r="D444" s="19" t="str">
        <f>HYPERLINK("http://henontech.com/fieldsafety/harzard/harzard_show.php?rid=4195&amp;url=harzardrecs.php","2号站好氧池南侧阀门井盖板缺失，一名操作工在巡检时因视线不良，未发现盖板缺失不慎掉入地沟，造成左腿小腿部轻微划伤，经简单处理后，正常工作。")</f>
        <v>2号站好氧池南侧阀门井盖板缺失，一名操作工在巡检时因视线不良，未发现盖板缺失不慎掉入地沟，造成左腿小腿部轻微划伤，经简单处理后，正常工作。</v>
      </c>
      <c r="E444" s="19" t="s">
        <v>2056</v>
      </c>
      <c r="F444" s="20" t="s">
        <v>42</v>
      </c>
      <c r="G444" s="22" t="s">
        <v>64</v>
      </c>
      <c r="H444" s="19" t="s">
        <v>44</v>
      </c>
      <c r="I444" s="19" t="s">
        <v>119</v>
      </c>
      <c r="J444" s="19" t="s">
        <v>182</v>
      </c>
      <c r="K444" s="19" t="s">
        <v>108</v>
      </c>
      <c r="L444" s="19"/>
      <c r="M444" s="19" t="s">
        <v>232</v>
      </c>
      <c r="N444" s="19" t="s">
        <v>835</v>
      </c>
      <c r="O444" s="19" t="s">
        <v>232</v>
      </c>
      <c r="P444" s="19" t="s">
        <v>1281</v>
      </c>
      <c r="Q444" s="19" t="s">
        <v>1780</v>
      </c>
      <c r="R444" s="19" t="s">
        <v>2057</v>
      </c>
      <c r="S444" s="19"/>
      <c r="T444" s="19" t="s">
        <v>52</v>
      </c>
      <c r="U444" s="19" t="s">
        <v>70</v>
      </c>
      <c r="V444" s="19" t="s">
        <v>71</v>
      </c>
      <c r="W444" s="19" t="s">
        <v>72</v>
      </c>
      <c r="X444" s="19" t="s">
        <v>73</v>
      </c>
      <c r="Y444" s="19" t="s">
        <v>73</v>
      </c>
      <c r="Z444" s="19" t="s">
        <v>2058</v>
      </c>
      <c r="AA444" s="19">
        <v>1</v>
      </c>
      <c r="AB444" s="19">
        <v>1</v>
      </c>
      <c r="AC444" s="19" t="s">
        <v>58</v>
      </c>
      <c r="AD444" s="19" t="s">
        <v>1281</v>
      </c>
      <c r="AE444" s="19" t="s">
        <v>932</v>
      </c>
      <c r="AF444" s="19"/>
    </row>
    <row r="445" spans="1:34">
      <c r="A445" s="19">
        <v>437</v>
      </c>
      <c r="B445" s="19" t="s">
        <v>724</v>
      </c>
      <c r="C445" s="19" t="s">
        <v>239</v>
      </c>
      <c r="D445" s="19" t="str">
        <f>HYPERLINK("http://henontech.com/fieldsafety/harzard/harzard_show.php?rid=4196&amp;url=harzardrecs.php","碳化塔底部有一铁管，上四点一名巡检人员不小心踩到此铁管，造成左脚腕扭伤。")</f>
        <v>碳化塔底部有一铁管，上四点一名巡检人员不小心踩到此铁管，造成左脚腕扭伤。</v>
      </c>
      <c r="E445" s="19" t="s">
        <v>2059</v>
      </c>
      <c r="F445" s="20" t="s">
        <v>42</v>
      </c>
      <c r="G445" s="21" t="s">
        <v>43</v>
      </c>
      <c r="H445" s="19" t="s">
        <v>44</v>
      </c>
      <c r="I445" s="19"/>
      <c r="J445" s="19"/>
      <c r="K445" s="19" t="s">
        <v>108</v>
      </c>
      <c r="L445" s="19" t="s">
        <v>2060</v>
      </c>
      <c r="M445" s="19" t="s">
        <v>241</v>
      </c>
      <c r="N445" s="19" t="s">
        <v>2061</v>
      </c>
      <c r="O445" s="19" t="s">
        <v>241</v>
      </c>
      <c r="P445" s="19" t="s">
        <v>1793</v>
      </c>
      <c r="Q445" s="19" t="s">
        <v>926</v>
      </c>
      <c r="R445" s="19" t="s">
        <v>2062</v>
      </c>
      <c r="S445" s="19"/>
      <c r="T445" s="19" t="s">
        <v>52</v>
      </c>
      <c r="U445" s="19" t="s">
        <v>89</v>
      </c>
      <c r="V445" s="19" t="s">
        <v>71</v>
      </c>
      <c r="W445" s="19" t="s">
        <v>55</v>
      </c>
      <c r="X445" s="19" t="s">
        <v>284</v>
      </c>
      <c r="Y445" s="19" t="s">
        <v>284</v>
      </c>
      <c r="Z445" s="19" t="s">
        <v>2063</v>
      </c>
      <c r="AA445" s="19">
        <v>1</v>
      </c>
      <c r="AB445" s="19">
        <v>1</v>
      </c>
      <c r="AC445" s="19" t="s">
        <v>58</v>
      </c>
      <c r="AD445" s="19" t="s">
        <v>1793</v>
      </c>
      <c r="AE445" s="19" t="s">
        <v>732</v>
      </c>
      <c r="AF445" s="19"/>
    </row>
    <row r="446" spans="1:34">
      <c r="A446" s="19">
        <v>438</v>
      </c>
      <c r="B446" s="19" t="s">
        <v>724</v>
      </c>
      <c r="C446" s="19" t="s">
        <v>741</v>
      </c>
      <c r="D446" s="19" t="str">
        <f>HYPERLINK("http://henontech.com/fieldsafety/harzard/harzard_show.php?rid=4197&amp;url=harzardrecs.php","皮带轮支撑固定轮脱轨，当装卸工用皮带轮硫铵装车时，因固定轮脱轨导致皮带斜偏，硫铵带掉落砸伤从皮带机经过的搬运工，造成搬运工右胳膊砸伤，经去医检查右胳膊肌肉损伤，回家休养7天后复工。")</f>
        <v>皮带轮支撑固定轮脱轨，当装卸工用皮带轮硫铵装车时，因固定轮脱轨导致皮带斜偏，硫铵带掉落砸伤从皮带机经过的搬运工，造成搬运工右胳膊砸伤，经去医检查右胳膊肌肉损伤，回家休养7天后复工。</v>
      </c>
      <c r="E446" s="19" t="s">
        <v>2064</v>
      </c>
      <c r="F446" s="20" t="s">
        <v>42</v>
      </c>
      <c r="G446" s="22" t="s">
        <v>64</v>
      </c>
      <c r="H446" s="19" t="s">
        <v>44</v>
      </c>
      <c r="I446" s="19" t="s">
        <v>119</v>
      </c>
      <c r="J446" s="19" t="s">
        <v>45</v>
      </c>
      <c r="K446" s="19" t="s">
        <v>108</v>
      </c>
      <c r="L446" s="19" t="s">
        <v>99</v>
      </c>
      <c r="M446" s="19" t="s">
        <v>334</v>
      </c>
      <c r="N446" s="19" t="s">
        <v>2065</v>
      </c>
      <c r="O446" s="19" t="s">
        <v>334</v>
      </c>
      <c r="P446" s="19" t="s">
        <v>346</v>
      </c>
      <c r="Q446" s="19" t="s">
        <v>926</v>
      </c>
      <c r="R446" s="19" t="s">
        <v>2066</v>
      </c>
      <c r="S446" s="19"/>
      <c r="T446" s="19" t="s">
        <v>52</v>
      </c>
      <c r="U446" s="19" t="s">
        <v>89</v>
      </c>
      <c r="V446" s="19" t="s">
        <v>71</v>
      </c>
      <c r="W446" s="19" t="s">
        <v>55</v>
      </c>
      <c r="X446" s="19"/>
      <c r="Y446" s="19"/>
      <c r="Z446" s="19" t="s">
        <v>2067</v>
      </c>
      <c r="AA446" s="19">
        <v>1</v>
      </c>
      <c r="AB446" s="19">
        <v>1</v>
      </c>
      <c r="AC446" s="19" t="s">
        <v>58</v>
      </c>
      <c r="AD446" s="19" t="s">
        <v>346</v>
      </c>
      <c r="AE446" s="19" t="s">
        <v>888</v>
      </c>
      <c r="AF446" s="19"/>
    </row>
    <row r="447" spans="1:34" customHeight="1" ht="42">
      <c r="A447" s="19">
        <v>439</v>
      </c>
      <c r="B447" s="19" t="s">
        <v>724</v>
      </c>
      <c r="C447" s="19" t="s">
        <v>586</v>
      </c>
      <c r="D447" s="19" t="str">
        <f>HYPERLINK("http://henontech.com/fieldsafety/harzard/harzard_show.php?rid=4198&amp;url=harzardrecs.php","煤五皮带机护栏缺失 操作工巡检清理卫生时  衣服袖口没有扣好纽扣 不慎被皮带机卷入造成右前臂骨折 送医院治疗 住院一个月在家修养90天")</f>
        <v>煤五皮带机护栏缺失 操作工巡检清理卫生时  衣服袖口没有扣好纽扣 不慎被皮带机卷入造成右前臂骨折 送医院治疗 住院一个月在家修养90天</v>
      </c>
      <c r="E447" s="19" t="s">
        <v>1671</v>
      </c>
      <c r="F447" s="20" t="s">
        <v>42</v>
      </c>
      <c r="G447" s="22" t="s">
        <v>64</v>
      </c>
      <c r="H447" s="19" t="s">
        <v>44</v>
      </c>
      <c r="I447" s="19" t="s">
        <v>119</v>
      </c>
      <c r="J447" s="19" t="s">
        <v>45</v>
      </c>
      <c r="K447" s="19" t="s">
        <v>98</v>
      </c>
      <c r="L447" s="19" t="s">
        <v>99</v>
      </c>
      <c r="M447" s="19" t="s">
        <v>565</v>
      </c>
      <c r="N447" s="19" t="s">
        <v>2068</v>
      </c>
      <c r="O447" s="19" t="s">
        <v>565</v>
      </c>
      <c r="P447" s="19" t="s">
        <v>1144</v>
      </c>
      <c r="Q447" s="19" t="s">
        <v>926</v>
      </c>
      <c r="R447" s="19" t="s">
        <v>1421</v>
      </c>
      <c r="S447" s="19"/>
      <c r="T447" s="19" t="s">
        <v>52</v>
      </c>
      <c r="U447" s="19" t="s">
        <v>89</v>
      </c>
      <c r="V447" s="19" t="s">
        <v>54</v>
      </c>
      <c r="W447" s="19" t="s">
        <v>72</v>
      </c>
      <c r="X447" s="19"/>
      <c r="Y447" s="19"/>
      <c r="Z447" s="19" t="s">
        <v>2069</v>
      </c>
      <c r="AA447" s="19">
        <v>2</v>
      </c>
      <c r="AB447" s="19">
        <v>2</v>
      </c>
      <c r="AC447" s="19" t="s">
        <v>58</v>
      </c>
      <c r="AD447" s="19" t="s">
        <v>1144</v>
      </c>
      <c r="AE447" s="19" t="s">
        <v>724</v>
      </c>
      <c r="AF447" s="19"/>
    </row>
    <row r="448" spans="1:34" customHeight="1" ht="42">
      <c r="A448" s="19">
        <v>440</v>
      </c>
      <c r="B448" s="19" t="s">
        <v>724</v>
      </c>
      <c r="C448" s="19" t="s">
        <v>563</v>
      </c>
      <c r="D448" s="19" t="str">
        <f>HYPERLINK("http://henontech.com/fieldsafety/harzard/harzard_show.php?rid=4199&amp;url=harzardrecs.php","斜桥上方模板松动，掉落后砸伤人员")</f>
        <v>斜桥上方模板松动，掉落后砸伤人员</v>
      </c>
      <c r="E448" s="19" t="s">
        <v>52</v>
      </c>
      <c r="F448" s="20" t="s">
        <v>42</v>
      </c>
      <c r="G448" s="21" t="s">
        <v>43</v>
      </c>
      <c r="H448" s="19" t="s">
        <v>44</v>
      </c>
      <c r="I448" s="19"/>
      <c r="J448" s="19" t="s">
        <v>527</v>
      </c>
      <c r="K448" s="19" t="s">
        <v>108</v>
      </c>
      <c r="L448" s="19" t="s">
        <v>99</v>
      </c>
      <c r="M448" s="19" t="s">
        <v>565</v>
      </c>
      <c r="N448" s="19" t="s">
        <v>2070</v>
      </c>
      <c r="O448" s="19" t="s">
        <v>565</v>
      </c>
      <c r="P448" s="19" t="s">
        <v>633</v>
      </c>
      <c r="Q448" s="19" t="s">
        <v>1166</v>
      </c>
      <c r="R448" s="19" t="s">
        <v>2071</v>
      </c>
      <c r="S448" s="19"/>
      <c r="T448" s="19" t="s">
        <v>52</v>
      </c>
      <c r="U448" s="19" t="s">
        <v>70</v>
      </c>
      <c r="V448" s="19" t="s">
        <v>71</v>
      </c>
      <c r="W448" s="19" t="s">
        <v>72</v>
      </c>
      <c r="X448" s="19" t="s">
        <v>323</v>
      </c>
      <c r="Y448" s="19" t="s">
        <v>323</v>
      </c>
      <c r="Z448" s="19" t="s">
        <v>2072</v>
      </c>
      <c r="AA448" s="19">
        <v>2</v>
      </c>
      <c r="AB448" s="19">
        <v>2</v>
      </c>
      <c r="AC448" s="19" t="s">
        <v>58</v>
      </c>
      <c r="AD448" s="19" t="s">
        <v>633</v>
      </c>
      <c r="AE448" s="19" t="s">
        <v>860</v>
      </c>
      <c r="AF448" s="19"/>
    </row>
    <row r="449" spans="1:34" customHeight="1" ht="42">
      <c r="A449" s="19">
        <v>441</v>
      </c>
      <c r="B449" s="19" t="s">
        <v>724</v>
      </c>
      <c r="C449" s="19" t="s">
        <v>563</v>
      </c>
      <c r="D449" s="19" t="str">
        <f>HYPERLINK("http://henontech.com/fieldsafety/harzard/harzard_show.php?rid=4200&amp;url=harzardrecs.php","乙炔瓶表头回火器缺失 维修切割使用时 割枪回火造成乙炔气瓶爆炸 造成一人受伤 送医院抢救无效死亡")</f>
        <v>乙炔瓶表头回火器缺失 维修切割使用时 割枪回火造成乙炔气瓶爆炸 造成一人受伤 送医院抢救无效死亡</v>
      </c>
      <c r="E449" s="19" t="s">
        <v>735</v>
      </c>
      <c r="F449" s="20" t="s">
        <v>42</v>
      </c>
      <c r="G449" s="22" t="s">
        <v>64</v>
      </c>
      <c r="H449" s="19" t="s">
        <v>44</v>
      </c>
      <c r="I449" s="19" t="s">
        <v>119</v>
      </c>
      <c r="J449" s="19" t="s">
        <v>45</v>
      </c>
      <c r="K449" s="19"/>
      <c r="L449" s="19" t="s">
        <v>99</v>
      </c>
      <c r="M449" s="19" t="s">
        <v>565</v>
      </c>
      <c r="N449" s="19" t="s">
        <v>2073</v>
      </c>
      <c r="O449" s="19" t="s">
        <v>565</v>
      </c>
      <c r="P449" s="19" t="s">
        <v>1144</v>
      </c>
      <c r="Q449" s="19" t="s">
        <v>926</v>
      </c>
      <c r="R449" s="19" t="s">
        <v>2074</v>
      </c>
      <c r="S449" s="19"/>
      <c r="T449" s="19" t="s">
        <v>52</v>
      </c>
      <c r="U449" s="19" t="s">
        <v>53</v>
      </c>
      <c r="V449" s="19" t="s">
        <v>54</v>
      </c>
      <c r="W449" s="19" t="s">
        <v>55</v>
      </c>
      <c r="X449" s="19"/>
      <c r="Y449" s="19"/>
      <c r="Z449" s="19" t="s">
        <v>2075</v>
      </c>
      <c r="AA449" s="19">
        <v>2</v>
      </c>
      <c r="AB449" s="19">
        <v>2</v>
      </c>
      <c r="AC449" s="19" t="s">
        <v>58</v>
      </c>
      <c r="AD449" s="19" t="s">
        <v>1144</v>
      </c>
      <c r="AE449" s="19" t="s">
        <v>724</v>
      </c>
      <c r="AF449" s="19"/>
    </row>
    <row r="450" spans="1:34" customHeight="1" ht="42">
      <c r="A450" s="19">
        <v>442</v>
      </c>
      <c r="B450" s="19" t="s">
        <v>724</v>
      </c>
      <c r="C450" s="19" t="s">
        <v>1641</v>
      </c>
      <c r="D450" s="19" t="str">
        <f>HYPERLINK("http://henontech.com/fieldsafety/harzard/harzard_show.php?rid=4201&amp;url=harzardrecs.php","操作工巡检到加药间时，不小心踩到裸露在外的酸碱罐管线，管线断裂，酸碱液溅到身上")</f>
        <v>操作工巡检到加药间时，不小心踩到裸露在外的酸碱罐管线，管线断裂，酸碱液溅到身上</v>
      </c>
      <c r="E450" s="19" t="s">
        <v>2076</v>
      </c>
      <c r="F450" s="20" t="s">
        <v>42</v>
      </c>
      <c r="G450" s="22" t="s">
        <v>64</v>
      </c>
      <c r="H450" s="19" t="s">
        <v>44</v>
      </c>
      <c r="I450" s="19" t="s">
        <v>106</v>
      </c>
      <c r="J450" s="19" t="s">
        <v>45</v>
      </c>
      <c r="K450" s="19" t="s">
        <v>170</v>
      </c>
      <c r="L450" s="19"/>
      <c r="M450" s="19" t="s">
        <v>663</v>
      </c>
      <c r="N450" s="19" t="s">
        <v>900</v>
      </c>
      <c r="O450" s="19" t="s">
        <v>663</v>
      </c>
      <c r="P450" s="19" t="s">
        <v>664</v>
      </c>
      <c r="Q450" s="19" t="s">
        <v>926</v>
      </c>
      <c r="R450" s="19" t="s">
        <v>1956</v>
      </c>
      <c r="S450" s="19"/>
      <c r="T450" s="19" t="s">
        <v>52</v>
      </c>
      <c r="U450" s="19" t="s">
        <v>70</v>
      </c>
      <c r="V450" s="19" t="s">
        <v>80</v>
      </c>
      <c r="W450" s="19" t="s">
        <v>55</v>
      </c>
      <c r="X450" s="19" t="s">
        <v>73</v>
      </c>
      <c r="Y450" s="19"/>
      <c r="Z450" s="19" t="s">
        <v>2077</v>
      </c>
      <c r="AA450" s="19">
        <v>2</v>
      </c>
      <c r="AB450" s="19">
        <v>2</v>
      </c>
      <c r="AC450" s="19" t="s">
        <v>58</v>
      </c>
      <c r="AD450" s="19" t="s">
        <v>664</v>
      </c>
      <c r="AE450" s="19" t="s">
        <v>1108</v>
      </c>
      <c r="AF450" s="19"/>
    </row>
    <row r="451" spans="1:34" customHeight="1" ht="42">
      <c r="A451" s="19">
        <v>443</v>
      </c>
      <c r="B451" s="19" t="s">
        <v>724</v>
      </c>
      <c r="C451" s="19" t="s">
        <v>578</v>
      </c>
      <c r="D451" s="19" t="str">
        <f>HYPERLINK("http://henontech.com/fieldsafety/harzard/harzard_show.php?rid=4202&amp;url=harzardrecs.php","西四杂物耙子松动容易脱落 操作工清理杂物时 耙子脱落砸到右手上休息一会不影响工作")</f>
        <v>西四杂物耙子松动容易脱落 操作工清理杂物时 耙子脱落砸到右手上休息一会不影响工作</v>
      </c>
      <c r="E451" s="19" t="s">
        <v>2078</v>
      </c>
      <c r="F451" s="20" t="s">
        <v>42</v>
      </c>
      <c r="G451" s="22" t="s">
        <v>64</v>
      </c>
      <c r="H451" s="19" t="s">
        <v>44</v>
      </c>
      <c r="I451" s="19" t="s">
        <v>97</v>
      </c>
      <c r="J451" s="19" t="s">
        <v>45</v>
      </c>
      <c r="K451" s="19"/>
      <c r="L451" s="19" t="s">
        <v>99</v>
      </c>
      <c r="M451" s="19" t="s">
        <v>565</v>
      </c>
      <c r="N451" s="19" t="s">
        <v>2079</v>
      </c>
      <c r="O451" s="19" t="s">
        <v>565</v>
      </c>
      <c r="P451" s="19" t="s">
        <v>1144</v>
      </c>
      <c r="Q451" s="19" t="s">
        <v>926</v>
      </c>
      <c r="R451" s="19" t="s">
        <v>1023</v>
      </c>
      <c r="S451" s="19"/>
      <c r="T451" s="19" t="s">
        <v>52</v>
      </c>
      <c r="U451" s="19" t="s">
        <v>70</v>
      </c>
      <c r="V451" s="19" t="s">
        <v>54</v>
      </c>
      <c r="W451" s="19" t="s">
        <v>81</v>
      </c>
      <c r="X451" s="19"/>
      <c r="Y451" s="19"/>
      <c r="Z451" s="19" t="s">
        <v>2080</v>
      </c>
      <c r="AA451" s="19">
        <v>2</v>
      </c>
      <c r="AB451" s="19">
        <v>2</v>
      </c>
      <c r="AC451" s="19" t="s">
        <v>58</v>
      </c>
      <c r="AD451" s="19" t="s">
        <v>1144</v>
      </c>
      <c r="AE451" s="19" t="s">
        <v>724</v>
      </c>
      <c r="AF451" s="19"/>
    </row>
    <row r="452" spans="1:34" customHeight="1" ht="42">
      <c r="A452" s="19">
        <v>444</v>
      </c>
      <c r="B452" s="19" t="s">
        <v>724</v>
      </c>
      <c r="C452" s="19" t="s">
        <v>563</v>
      </c>
      <c r="D452" s="19" t="str">
        <f>HYPERLINK("http://henontech.com/fieldsafety/harzard/harzard_show.php?rid=4203&amp;url=harzardrecs.php","东三卸料车刮板把手开焊掉落  操作工清理滚筒煤层时 把手开焊掉落 由于用力过大扭伤右手手腕 休息一会不影响工作")</f>
        <v>东三卸料车刮板把手开焊掉落  操作工清理滚筒煤层时 把手开焊掉落 由于用力过大扭伤右手手腕 休息一会不影响工作</v>
      </c>
      <c r="E452" s="19" t="s">
        <v>1991</v>
      </c>
      <c r="F452" s="20" t="s">
        <v>42</v>
      </c>
      <c r="G452" s="22" t="s">
        <v>64</v>
      </c>
      <c r="H452" s="19" t="s">
        <v>44</v>
      </c>
      <c r="I452" s="19" t="s">
        <v>97</v>
      </c>
      <c r="J452" s="19" t="s">
        <v>45</v>
      </c>
      <c r="K452" s="19" t="s">
        <v>98</v>
      </c>
      <c r="L452" s="19" t="s">
        <v>99</v>
      </c>
      <c r="M452" s="19" t="s">
        <v>565</v>
      </c>
      <c r="N452" s="19" t="s">
        <v>2081</v>
      </c>
      <c r="O452" s="19" t="s">
        <v>565</v>
      </c>
      <c r="P452" s="19" t="s">
        <v>1144</v>
      </c>
      <c r="Q452" s="19" t="s">
        <v>926</v>
      </c>
      <c r="R452" s="19" t="s">
        <v>2003</v>
      </c>
      <c r="S452" s="19"/>
      <c r="T452" s="19" t="s">
        <v>52</v>
      </c>
      <c r="U452" s="19" t="s">
        <v>70</v>
      </c>
      <c r="V452" s="19" t="s">
        <v>54</v>
      </c>
      <c r="W452" s="19" t="s">
        <v>81</v>
      </c>
      <c r="X452" s="19"/>
      <c r="Y452" s="19"/>
      <c r="Z452" s="19" t="s">
        <v>2082</v>
      </c>
      <c r="AA452" s="19">
        <v>2</v>
      </c>
      <c r="AB452" s="19">
        <v>2</v>
      </c>
      <c r="AC452" s="19" t="s">
        <v>58</v>
      </c>
      <c r="AD452" s="19" t="s">
        <v>1144</v>
      </c>
      <c r="AE452" s="19" t="s">
        <v>724</v>
      </c>
      <c r="AF452" s="19"/>
    </row>
    <row r="453" spans="1:34" customHeight="1" ht="42">
      <c r="A453" s="19">
        <v>445</v>
      </c>
      <c r="B453" s="19" t="s">
        <v>724</v>
      </c>
      <c r="C453" s="19" t="s">
        <v>578</v>
      </c>
      <c r="D453" s="19" t="str">
        <f>HYPERLINK("http://henontech.com/fieldsafety/harzard/harzard_show.php?rid=4204&amp;url=harzardrecs.php","控制箱无防护罩，人员清理时发生触电事故，造成人员电击伤")</f>
        <v>控制箱无防护罩，人员清理时发生触电事故，造成人员电击伤</v>
      </c>
      <c r="E453" s="19" t="s">
        <v>2083</v>
      </c>
      <c r="F453" s="20" t="s">
        <v>42</v>
      </c>
      <c r="G453" s="22" t="s">
        <v>64</v>
      </c>
      <c r="H453" s="19" t="s">
        <v>44</v>
      </c>
      <c r="I453" s="19" t="s">
        <v>97</v>
      </c>
      <c r="J453" s="19" t="s">
        <v>45</v>
      </c>
      <c r="K453" s="19" t="s">
        <v>170</v>
      </c>
      <c r="L453" s="19" t="s">
        <v>99</v>
      </c>
      <c r="M453" s="19" t="s">
        <v>565</v>
      </c>
      <c r="N453" s="19" t="s">
        <v>633</v>
      </c>
      <c r="O453" s="19" t="s">
        <v>565</v>
      </c>
      <c r="P453" s="19" t="s">
        <v>633</v>
      </c>
      <c r="Q453" s="19" t="s">
        <v>1166</v>
      </c>
      <c r="R453" s="19" t="s">
        <v>2084</v>
      </c>
      <c r="S453" s="19"/>
      <c r="T453" s="19" t="s">
        <v>52</v>
      </c>
      <c r="U453" s="19" t="s">
        <v>89</v>
      </c>
      <c r="V453" s="19" t="s">
        <v>71</v>
      </c>
      <c r="W453" s="19" t="s">
        <v>55</v>
      </c>
      <c r="X453" s="19" t="s">
        <v>323</v>
      </c>
      <c r="Y453" s="19" t="s">
        <v>323</v>
      </c>
      <c r="Z453" s="19" t="s">
        <v>2085</v>
      </c>
      <c r="AA453" s="19">
        <v>2</v>
      </c>
      <c r="AB453" s="19">
        <v>2</v>
      </c>
      <c r="AC453" s="19" t="s">
        <v>58</v>
      </c>
      <c r="AD453" s="19" t="s">
        <v>633</v>
      </c>
      <c r="AE453" s="19" t="s">
        <v>732</v>
      </c>
      <c r="AF453" s="19"/>
    </row>
    <row r="454" spans="1:34" customHeight="1" ht="42">
      <c r="A454" s="19">
        <v>446</v>
      </c>
      <c r="B454" s="19" t="s">
        <v>724</v>
      </c>
      <c r="C454" s="19" t="s">
        <v>586</v>
      </c>
      <c r="D454" s="19" t="str">
        <f>HYPERLINK("http://henontech.com/fieldsafety/harzard/harzard_show.php?rid=4205&amp;url=harzardrecs.php","煤十料仓通风管防雨罩掉落 大风天下面正好有人员经过时 防雨罩被吹落 砸到头上造成头部受伤 送医院治疗 住院一个月 在家修养60天")</f>
        <v>煤十料仓通风管防雨罩掉落 大风天下面正好有人员经过时 防雨罩被吹落 砸到头上造成头部受伤 送医院治疗 住院一个月 在家修养60天</v>
      </c>
      <c r="E454" s="19" t="s">
        <v>2086</v>
      </c>
      <c r="F454" s="20" t="s">
        <v>42</v>
      </c>
      <c r="G454" s="22" t="s">
        <v>64</v>
      </c>
      <c r="H454" s="19" t="s">
        <v>44</v>
      </c>
      <c r="I454" s="19" t="s">
        <v>97</v>
      </c>
      <c r="J454" s="19" t="s">
        <v>527</v>
      </c>
      <c r="K454" s="19" t="s">
        <v>98</v>
      </c>
      <c r="L454" s="19" t="s">
        <v>99</v>
      </c>
      <c r="M454" s="19" t="s">
        <v>565</v>
      </c>
      <c r="N454" s="19" t="s">
        <v>2087</v>
      </c>
      <c r="O454" s="19" t="s">
        <v>565</v>
      </c>
      <c r="P454" s="19" t="s">
        <v>1144</v>
      </c>
      <c r="Q454" s="19" t="s">
        <v>926</v>
      </c>
      <c r="R454" s="19" t="s">
        <v>2088</v>
      </c>
      <c r="S454" s="19"/>
      <c r="T454" s="19" t="s">
        <v>52</v>
      </c>
      <c r="U454" s="19" t="s">
        <v>89</v>
      </c>
      <c r="V454" s="19" t="s">
        <v>54</v>
      </c>
      <c r="W454" s="19" t="s">
        <v>72</v>
      </c>
      <c r="X454" s="19"/>
      <c r="Y454" s="19"/>
      <c r="Z454" s="19" t="s">
        <v>2089</v>
      </c>
      <c r="AA454" s="19">
        <v>2</v>
      </c>
      <c r="AB454" s="19">
        <v>2</v>
      </c>
      <c r="AC454" s="19" t="s">
        <v>58</v>
      </c>
      <c r="AD454" s="19" t="s">
        <v>1144</v>
      </c>
      <c r="AE454" s="19" t="s">
        <v>724</v>
      </c>
      <c r="AF454" s="19"/>
    </row>
    <row r="455" spans="1:34" customHeight="1" ht="42">
      <c r="A455" s="19">
        <v>447</v>
      </c>
      <c r="B455" s="19" t="s">
        <v>724</v>
      </c>
      <c r="C455" s="19" t="s">
        <v>586</v>
      </c>
      <c r="D455" s="19" t="str">
        <f>HYPERLINK("http://henontech.com/fieldsafety/harzard/harzard_show.php?rid=4206&amp;url=harzardrecs.php","1618破碎机电流表外壳破损 操作工清理卫生时 不慎碰触到破损处 触电倒地 右手电伤 送医院治疗 住院20天 在家修养一个月")</f>
        <v>1618破碎机电流表外壳破损 操作工清理卫生时 不慎碰触到破损处 触电倒地 右手电伤 送医院治疗 住院20天 在家修养一个月</v>
      </c>
      <c r="E455" s="19" t="s">
        <v>2090</v>
      </c>
      <c r="F455" s="20" t="s">
        <v>42</v>
      </c>
      <c r="G455" s="22" t="s">
        <v>64</v>
      </c>
      <c r="H455" s="19" t="s">
        <v>44</v>
      </c>
      <c r="I455" s="19" t="s">
        <v>119</v>
      </c>
      <c r="J455" s="19" t="s">
        <v>231</v>
      </c>
      <c r="K455" s="19" t="s">
        <v>98</v>
      </c>
      <c r="L455" s="19" t="s">
        <v>99</v>
      </c>
      <c r="M455" s="19" t="s">
        <v>565</v>
      </c>
      <c r="N455" s="19" t="s">
        <v>1144</v>
      </c>
      <c r="O455" s="19" t="s">
        <v>565</v>
      </c>
      <c r="P455" s="19" t="s">
        <v>1144</v>
      </c>
      <c r="Q455" s="19" t="s">
        <v>926</v>
      </c>
      <c r="R455" s="19" t="s">
        <v>650</v>
      </c>
      <c r="S455" s="19"/>
      <c r="T455" s="19" t="s">
        <v>52</v>
      </c>
      <c r="U455" s="19" t="s">
        <v>89</v>
      </c>
      <c r="V455" s="19" t="s">
        <v>54</v>
      </c>
      <c r="W455" s="19" t="s">
        <v>72</v>
      </c>
      <c r="X455" s="19"/>
      <c r="Y455" s="19"/>
      <c r="Z455" s="19" t="s">
        <v>2091</v>
      </c>
      <c r="AA455" s="19">
        <v>2</v>
      </c>
      <c r="AB455" s="19">
        <v>2</v>
      </c>
      <c r="AC455" s="19" t="s">
        <v>58</v>
      </c>
      <c r="AD455" s="19" t="s">
        <v>1144</v>
      </c>
      <c r="AE455" s="19" t="s">
        <v>724</v>
      </c>
      <c r="AF455" s="19"/>
    </row>
    <row r="456" spans="1:34">
      <c r="A456" s="19">
        <v>448</v>
      </c>
      <c r="B456" s="19" t="s">
        <v>724</v>
      </c>
      <c r="C456" s="19" t="s">
        <v>2092</v>
      </c>
      <c r="D456" s="19" t="str">
        <f>HYPERLINK("http://henontech.com/fieldsafety/harzard/harzard_show.php?rid=4207&amp;url=harzardrecs.php","1号焦油罐气动阀气源管掉落，造成气动阀关闭不动作，通知仪表工后更换气源管恢复正常，造成30分钟焦油无发进罐，影响生产，造成经济损失2万元")</f>
        <v>1号焦油罐气动阀气源管掉落，造成气动阀关闭不动作，通知仪表工后更换气源管恢复正常，造成30分钟焦油无发进罐，影响生产，造成经济损失2万元</v>
      </c>
      <c r="E456" s="19" t="s">
        <v>2093</v>
      </c>
      <c r="F456" s="20" t="s">
        <v>42</v>
      </c>
      <c r="G456" s="22" t="s">
        <v>64</v>
      </c>
      <c r="H456" s="19" t="s">
        <v>44</v>
      </c>
      <c r="I456" s="19" t="s">
        <v>119</v>
      </c>
      <c r="J456" s="19" t="s">
        <v>45</v>
      </c>
      <c r="K456" s="19" t="s">
        <v>108</v>
      </c>
      <c r="L456" s="19" t="s">
        <v>99</v>
      </c>
      <c r="M456" s="19" t="s">
        <v>334</v>
      </c>
      <c r="N456" s="19" t="s">
        <v>987</v>
      </c>
      <c r="O456" s="19" t="s">
        <v>334</v>
      </c>
      <c r="P456" s="19" t="s">
        <v>346</v>
      </c>
      <c r="Q456" s="19" t="s">
        <v>1967</v>
      </c>
      <c r="R456" s="19" t="s">
        <v>2094</v>
      </c>
      <c r="S456" s="19"/>
      <c r="T456" s="19" t="s">
        <v>78</v>
      </c>
      <c r="U456" s="19" t="s">
        <v>79</v>
      </c>
      <c r="V456" s="19" t="s">
        <v>80</v>
      </c>
      <c r="W456" s="19" t="s">
        <v>81</v>
      </c>
      <c r="X456" s="19"/>
      <c r="Y456" s="19"/>
      <c r="Z456" s="19" t="s">
        <v>2095</v>
      </c>
      <c r="AA456" s="19">
        <v>1</v>
      </c>
      <c r="AB456" s="19">
        <v>1</v>
      </c>
      <c r="AC456" s="19" t="s">
        <v>58</v>
      </c>
      <c r="AD456" s="19" t="s">
        <v>346</v>
      </c>
      <c r="AE456" s="19" t="s">
        <v>888</v>
      </c>
      <c r="AF456" s="19"/>
    </row>
    <row r="457" spans="1:34">
      <c r="A457" s="19">
        <v>449</v>
      </c>
      <c r="B457" s="19" t="s">
        <v>724</v>
      </c>
      <c r="C457" s="19" t="s">
        <v>1078</v>
      </c>
      <c r="D457" s="19" t="str">
        <f>HYPERLINK("http://henontech.com/fieldsafety/harzard/harzard_show.php?rid=4208&amp;url=harzardrecs.php","硫铵二楼振动筛北侧西边平台过小无护栏，一名操作工在清理振动筛时不慎从平台坠落，造成左胳膊骨折，身上多处软组织挫裂伤，住院治疗15天，在家修完10天后康复。")</f>
        <v>硫铵二楼振动筛北侧西边平台过小无护栏，一名操作工在清理振动筛时不慎从平台坠落，造成左胳膊骨折，身上多处软组织挫裂伤，住院治疗15天，在家修完10天后康复。</v>
      </c>
      <c r="E457" s="19" t="s">
        <v>2096</v>
      </c>
      <c r="F457" s="20" t="s">
        <v>42</v>
      </c>
      <c r="G457" s="22" t="s">
        <v>64</v>
      </c>
      <c r="H457" s="19" t="s">
        <v>44</v>
      </c>
      <c r="I457" s="19" t="s">
        <v>119</v>
      </c>
      <c r="J457" s="19" t="s">
        <v>45</v>
      </c>
      <c r="K457" s="19"/>
      <c r="L457" s="19"/>
      <c r="M457" s="19" t="s">
        <v>663</v>
      </c>
      <c r="N457" s="19" t="s">
        <v>1080</v>
      </c>
      <c r="O457" s="19" t="s">
        <v>663</v>
      </c>
      <c r="P457" s="19" t="s">
        <v>664</v>
      </c>
      <c r="Q457" s="19" t="s">
        <v>1081</v>
      </c>
      <c r="R457" s="19" t="s">
        <v>1078</v>
      </c>
      <c r="S457" s="19"/>
      <c r="T457" s="19" t="s">
        <v>52</v>
      </c>
      <c r="U457" s="19" t="s">
        <v>89</v>
      </c>
      <c r="V457" s="19" t="s">
        <v>71</v>
      </c>
      <c r="W457" s="19" t="s">
        <v>55</v>
      </c>
      <c r="X457" s="19"/>
      <c r="Y457" s="19"/>
      <c r="Z457" s="19" t="s">
        <v>2097</v>
      </c>
      <c r="AA457" s="19">
        <v>1</v>
      </c>
      <c r="AB457" s="19">
        <v>1</v>
      </c>
      <c r="AC457" s="19" t="s">
        <v>58</v>
      </c>
      <c r="AD457" s="19" t="s">
        <v>664</v>
      </c>
      <c r="AE457" s="19" t="s">
        <v>1124</v>
      </c>
      <c r="AF457" s="19"/>
    </row>
    <row r="458" spans="1:34" customHeight="1" ht="42">
      <c r="A458" s="19">
        <v>450</v>
      </c>
      <c r="B458" s="19" t="s">
        <v>724</v>
      </c>
      <c r="C458" s="19" t="s">
        <v>578</v>
      </c>
      <c r="D458" s="19" t="str">
        <f>HYPERLINK("http://henontech.com/fieldsafety/harzard/harzard_show.php?rid=4209&amp;url=harzardrecs.php","西三料仓篦子水泥边框变宽 操作工清理卫生时 踩到篦子上面 由于水泥边框老化变宽只支撑不住 跟篦子一起掉落到料仓里 造成双腿骨折送医院治疗 住院一个月 在家修养90天")</f>
        <v>西三料仓篦子水泥边框变宽 操作工清理卫生时 踩到篦子上面 由于水泥边框老化变宽只支撑不住 跟篦子一起掉落到料仓里 造成双腿骨折送医院治疗 住院一个月 在家修养90天</v>
      </c>
      <c r="E458" s="19" t="s">
        <v>2098</v>
      </c>
      <c r="F458" s="20" t="s">
        <v>42</v>
      </c>
      <c r="G458" s="22" t="s">
        <v>64</v>
      </c>
      <c r="H458" s="19" t="s">
        <v>44</v>
      </c>
      <c r="I458" s="19" t="s">
        <v>119</v>
      </c>
      <c r="J458" s="19" t="s">
        <v>527</v>
      </c>
      <c r="K458" s="19" t="s">
        <v>98</v>
      </c>
      <c r="L458" s="19" t="s">
        <v>99</v>
      </c>
      <c r="M458" s="19" t="s">
        <v>565</v>
      </c>
      <c r="N458" s="19" t="s">
        <v>109</v>
      </c>
      <c r="O458" s="19" t="s">
        <v>565</v>
      </c>
      <c r="P458" s="19" t="s">
        <v>1144</v>
      </c>
      <c r="Q458" s="19" t="s">
        <v>926</v>
      </c>
      <c r="R458" s="19" t="s">
        <v>1018</v>
      </c>
      <c r="S458" s="19"/>
      <c r="T458" s="19" t="s">
        <v>52</v>
      </c>
      <c r="U458" s="19" t="s">
        <v>89</v>
      </c>
      <c r="V458" s="19" t="s">
        <v>54</v>
      </c>
      <c r="W458" s="19" t="s">
        <v>72</v>
      </c>
      <c r="X458" s="19"/>
      <c r="Y458" s="19"/>
      <c r="Z458" s="19" t="s">
        <v>2099</v>
      </c>
      <c r="AA458" s="19">
        <v>2</v>
      </c>
      <c r="AB458" s="19">
        <v>2</v>
      </c>
      <c r="AC458" s="19" t="s">
        <v>58</v>
      </c>
      <c r="AD458" s="19" t="s">
        <v>1144</v>
      </c>
      <c r="AE458" s="19" t="s">
        <v>724</v>
      </c>
      <c r="AF458" s="19"/>
    </row>
    <row r="459" spans="1:34" customHeight="1" ht="42">
      <c r="A459" s="19">
        <v>451</v>
      </c>
      <c r="B459" s="19" t="s">
        <v>724</v>
      </c>
      <c r="C459" s="19" t="s">
        <v>563</v>
      </c>
      <c r="D459" s="19" t="str">
        <f>HYPERLINK("http://henontech.com/fieldsafety/harzard/harzard_show.php?rid=4210&amp;url=harzardrecs.php","东一地沟一照明灯坏 操作工巡查时由于地沟光线暗 看不清脚下 不慎被绊倒 造成右脚脚踝扭伤 休息一会不影响工作")</f>
        <v>东一地沟一照明灯坏 操作工巡查时由于地沟光线暗 看不清脚下 不慎被绊倒 造成右脚脚踝扭伤 休息一会不影响工作</v>
      </c>
      <c r="E459" s="19" t="s">
        <v>1148</v>
      </c>
      <c r="F459" s="20" t="s">
        <v>42</v>
      </c>
      <c r="G459" s="22" t="s">
        <v>64</v>
      </c>
      <c r="H459" s="19" t="s">
        <v>44</v>
      </c>
      <c r="I459" s="19" t="s">
        <v>97</v>
      </c>
      <c r="J459" s="19" t="s">
        <v>527</v>
      </c>
      <c r="K459" s="19" t="s">
        <v>170</v>
      </c>
      <c r="L459" s="19" t="s">
        <v>99</v>
      </c>
      <c r="M459" s="19" t="s">
        <v>565</v>
      </c>
      <c r="N459" s="19" t="s">
        <v>2100</v>
      </c>
      <c r="O459" s="19" t="s">
        <v>565</v>
      </c>
      <c r="P459" s="19" t="s">
        <v>1144</v>
      </c>
      <c r="Q459" s="19" t="s">
        <v>926</v>
      </c>
      <c r="R459" s="19" t="s">
        <v>1902</v>
      </c>
      <c r="S459" s="19"/>
      <c r="T459" s="19" t="s">
        <v>52</v>
      </c>
      <c r="U459" s="19" t="s">
        <v>70</v>
      </c>
      <c r="V459" s="19" t="s">
        <v>54</v>
      </c>
      <c r="W459" s="19" t="s">
        <v>81</v>
      </c>
      <c r="X459" s="19"/>
      <c r="Y459" s="19"/>
      <c r="Z459" s="19" t="s">
        <v>2101</v>
      </c>
      <c r="AA459" s="19">
        <v>2</v>
      </c>
      <c r="AB459" s="19">
        <v>2</v>
      </c>
      <c r="AC459" s="19" t="s">
        <v>58</v>
      </c>
      <c r="AD459" s="19" t="s">
        <v>1144</v>
      </c>
      <c r="AE459" s="19" t="s">
        <v>724</v>
      </c>
      <c r="AF459" s="19"/>
    </row>
    <row r="460" spans="1:34" customHeight="1" ht="42">
      <c r="A460" s="19">
        <v>452</v>
      </c>
      <c r="B460" s="19" t="s">
        <v>724</v>
      </c>
      <c r="C460" s="19" t="s">
        <v>563</v>
      </c>
      <c r="D460" s="19" t="str">
        <f>HYPERLINK("http://henontech.com/fieldsafety/harzard/harzard_show.php?rid=4211&amp;url=harzardrecs.php","东四电源线未套管 由于电源线被窗户挤压线皮破损 操作工经过时不慎碰触到线皮破损处 触电摔倒 扭伤右手手腕 休息一会不影响工作")</f>
        <v>东四电源线未套管 由于电源线被窗户挤压线皮破损 操作工经过时不慎碰触到线皮破损处 触电摔倒 扭伤右手手腕 休息一会不影响工作</v>
      </c>
      <c r="E460" s="19" t="s">
        <v>2102</v>
      </c>
      <c r="F460" s="20" t="s">
        <v>42</v>
      </c>
      <c r="G460" s="22" t="s">
        <v>64</v>
      </c>
      <c r="H460" s="19" t="s">
        <v>44</v>
      </c>
      <c r="I460" s="19" t="s">
        <v>119</v>
      </c>
      <c r="J460" s="19" t="s">
        <v>231</v>
      </c>
      <c r="K460" s="19" t="s">
        <v>98</v>
      </c>
      <c r="L460" s="19" t="s">
        <v>99</v>
      </c>
      <c r="M460" s="19" t="s">
        <v>565</v>
      </c>
      <c r="N460" s="19" t="s">
        <v>2103</v>
      </c>
      <c r="O460" s="19" t="s">
        <v>565</v>
      </c>
      <c r="P460" s="19" t="s">
        <v>1144</v>
      </c>
      <c r="Q460" s="19" t="s">
        <v>926</v>
      </c>
      <c r="R460" s="19" t="s">
        <v>1317</v>
      </c>
      <c r="S460" s="19"/>
      <c r="T460" s="19" t="s">
        <v>52</v>
      </c>
      <c r="U460" s="19" t="s">
        <v>70</v>
      </c>
      <c r="V460" s="19" t="s">
        <v>54</v>
      </c>
      <c r="W460" s="19" t="s">
        <v>81</v>
      </c>
      <c r="X460" s="19"/>
      <c r="Y460" s="19"/>
      <c r="Z460" s="19" t="s">
        <v>2104</v>
      </c>
      <c r="AA460" s="19">
        <v>2</v>
      </c>
      <c r="AB460" s="19">
        <v>2</v>
      </c>
      <c r="AC460" s="19" t="s">
        <v>58</v>
      </c>
      <c r="AD460" s="19" t="s">
        <v>1144</v>
      </c>
      <c r="AE460" s="19" t="s">
        <v>724</v>
      </c>
      <c r="AF460" s="19"/>
    </row>
    <row r="461" spans="1:34">
      <c r="A461" s="19">
        <v>453</v>
      </c>
      <c r="B461" s="19" t="s">
        <v>724</v>
      </c>
      <c r="C461" s="19" t="s">
        <v>563</v>
      </c>
      <c r="D461" s="19" t="str">
        <f>HYPERLINK("http://henontech.com/fieldsafety/harzard/harzard_show.php?rid=4212&amp;url=harzardrecs.php","因防护栏套管不在规定位置，起不到防护作用，一旦人员清理卫生容易造成肢体伤害。")</f>
        <v>因防护栏套管不在规定位置，起不到防护作用，一旦人员清理卫生容易造成肢体伤害。</v>
      </c>
      <c r="E461" s="19" t="s">
        <v>2105</v>
      </c>
      <c r="F461" s="20" t="s">
        <v>42</v>
      </c>
      <c r="G461" s="22" t="s">
        <v>64</v>
      </c>
      <c r="H461" s="19" t="s">
        <v>44</v>
      </c>
      <c r="I461" s="19"/>
      <c r="J461" s="19" t="s">
        <v>45</v>
      </c>
      <c r="K461" s="19"/>
      <c r="L461" s="19"/>
      <c r="M461" s="19" t="s">
        <v>565</v>
      </c>
      <c r="N461" s="19" t="s">
        <v>611</v>
      </c>
      <c r="O461" s="19" t="s">
        <v>565</v>
      </c>
      <c r="P461" s="19" t="s">
        <v>611</v>
      </c>
      <c r="Q461" s="19" t="s">
        <v>932</v>
      </c>
      <c r="R461" s="19" t="s">
        <v>1609</v>
      </c>
      <c r="S461" s="19"/>
      <c r="T461" s="19" t="s">
        <v>52</v>
      </c>
      <c r="U461" s="19" t="s">
        <v>79</v>
      </c>
      <c r="V461" s="19" t="s">
        <v>71</v>
      </c>
      <c r="W461" s="19" t="s">
        <v>81</v>
      </c>
      <c r="X461" s="19"/>
      <c r="Y461" s="19"/>
      <c r="Z461" s="19" t="s">
        <v>2106</v>
      </c>
      <c r="AA461" s="19">
        <v>1</v>
      </c>
      <c r="AB461" s="19">
        <v>1</v>
      </c>
      <c r="AC461" s="19" t="s">
        <v>58</v>
      </c>
      <c r="AD461" s="19" t="s">
        <v>611</v>
      </c>
      <c r="AE461" s="19" t="s">
        <v>724</v>
      </c>
      <c r="AF461" s="19" t="s">
        <v>2107</v>
      </c>
    </row>
    <row r="462" spans="1:34" customHeight="1" ht="42">
      <c r="A462" s="19">
        <v>454</v>
      </c>
      <c r="B462" s="19" t="s">
        <v>724</v>
      </c>
      <c r="C462" s="19" t="s">
        <v>578</v>
      </c>
      <c r="D462" s="19" t="str">
        <f>HYPERLINK("http://henontech.com/fieldsafety/harzard/harzard_show.php?rid=4213&amp;url=harzardrecs.php","西二斜桥彩钢包边腐蚀脱落 人员经过时包边腐蚀严重掉落砸到肩膀上 造成肩膀划伤 送医院包扎 在家休息20天")</f>
        <v>西二斜桥彩钢包边腐蚀脱落 人员经过时包边腐蚀严重掉落砸到肩膀上 造成肩膀划伤 送医院包扎 在家休息20天</v>
      </c>
      <c r="E462" s="19" t="s">
        <v>2108</v>
      </c>
      <c r="F462" s="20" t="s">
        <v>42</v>
      </c>
      <c r="G462" s="22" t="s">
        <v>64</v>
      </c>
      <c r="H462" s="19" t="s">
        <v>44</v>
      </c>
      <c r="I462" s="19" t="s">
        <v>119</v>
      </c>
      <c r="J462" s="19" t="s">
        <v>527</v>
      </c>
      <c r="K462" s="19" t="s">
        <v>176</v>
      </c>
      <c r="L462" s="19" t="s">
        <v>99</v>
      </c>
      <c r="M462" s="19" t="s">
        <v>565</v>
      </c>
      <c r="N462" s="19" t="s">
        <v>2109</v>
      </c>
      <c r="O462" s="19" t="s">
        <v>565</v>
      </c>
      <c r="P462" s="19" t="s">
        <v>1144</v>
      </c>
      <c r="Q462" s="19" t="s">
        <v>926</v>
      </c>
      <c r="R462" s="19" t="s">
        <v>2084</v>
      </c>
      <c r="S462" s="19"/>
      <c r="T462" s="19" t="s">
        <v>52</v>
      </c>
      <c r="U462" s="19" t="s">
        <v>89</v>
      </c>
      <c r="V462" s="19" t="s">
        <v>54</v>
      </c>
      <c r="W462" s="19" t="s">
        <v>72</v>
      </c>
      <c r="X462" s="19"/>
      <c r="Y462" s="19"/>
      <c r="Z462" s="19" t="s">
        <v>2110</v>
      </c>
      <c r="AA462" s="19">
        <v>2</v>
      </c>
      <c r="AB462" s="19">
        <v>2</v>
      </c>
      <c r="AC462" s="19" t="s">
        <v>58</v>
      </c>
      <c r="AD462" s="19" t="s">
        <v>1144</v>
      </c>
      <c r="AE462" s="19" t="s">
        <v>724</v>
      </c>
      <c r="AF462" s="19"/>
    </row>
    <row r="463" spans="1:34" customHeight="1" ht="42">
      <c r="A463" s="19">
        <v>455</v>
      </c>
      <c r="B463" s="19" t="s">
        <v>724</v>
      </c>
      <c r="C463" s="19" t="s">
        <v>578</v>
      </c>
      <c r="D463" s="19" t="str">
        <f>HYPERLINK("http://henontech.com/fieldsafety/harzard/harzard_show.php?rid=4214&amp;url=harzardrecs.php","一托辊被钢丝缠绕，开车时造成皮带划伤")</f>
        <v>一托辊被钢丝缠绕，开车时造成皮带划伤</v>
      </c>
      <c r="E463" s="19" t="s">
        <v>2111</v>
      </c>
      <c r="F463" s="20" t="s">
        <v>42</v>
      </c>
      <c r="G463" s="21" t="s">
        <v>43</v>
      </c>
      <c r="H463" s="19" t="s">
        <v>44</v>
      </c>
      <c r="I463" s="19"/>
      <c r="J463" s="19" t="s">
        <v>175</v>
      </c>
      <c r="K463" s="19" t="s">
        <v>98</v>
      </c>
      <c r="L463" s="19"/>
      <c r="M463" s="19" t="s">
        <v>565</v>
      </c>
      <c r="N463" s="19" t="s">
        <v>2002</v>
      </c>
      <c r="O463" s="19" t="s">
        <v>565</v>
      </c>
      <c r="P463" s="19" t="s">
        <v>633</v>
      </c>
      <c r="Q463" s="19" t="s">
        <v>1166</v>
      </c>
      <c r="R463" s="19" t="s">
        <v>2112</v>
      </c>
      <c r="S463" s="19"/>
      <c r="T463" s="19" t="s">
        <v>78</v>
      </c>
      <c r="U463" s="19" t="s">
        <v>79</v>
      </c>
      <c r="V463" s="19" t="s">
        <v>124</v>
      </c>
      <c r="W463" s="19" t="s">
        <v>81</v>
      </c>
      <c r="X463" s="19" t="s">
        <v>323</v>
      </c>
      <c r="Y463" s="19" t="s">
        <v>323</v>
      </c>
      <c r="Z463" s="19" t="s">
        <v>2113</v>
      </c>
      <c r="AA463" s="19">
        <v>2</v>
      </c>
      <c r="AB463" s="19">
        <v>2</v>
      </c>
      <c r="AC463" s="19" t="s">
        <v>58</v>
      </c>
      <c r="AD463" s="19" t="s">
        <v>633</v>
      </c>
      <c r="AE463" s="19" t="s">
        <v>732</v>
      </c>
      <c r="AF463" s="19"/>
    </row>
    <row r="464" spans="1:34" customHeight="1" ht="42">
      <c r="A464" s="19">
        <v>456</v>
      </c>
      <c r="B464" s="19" t="s">
        <v>724</v>
      </c>
      <c r="C464" s="19" t="s">
        <v>2114</v>
      </c>
      <c r="D464" s="19" t="str">
        <f>HYPERLINK("http://henontech.com/fieldsafety/harzard/harzard_show.php?rid=4215&amp;url=harzardrecs.php","废水池配电箱外部有一钢筋衔搭，操作人员在合闸操作时，造成电击伤")</f>
        <v>废水池配电箱外部有一钢筋衔搭，操作人员在合闸操作时，造成电击伤</v>
      </c>
      <c r="E464" s="19" t="s">
        <v>2115</v>
      </c>
      <c r="F464" s="20" t="s">
        <v>42</v>
      </c>
      <c r="G464" s="21" t="s">
        <v>43</v>
      </c>
      <c r="H464" s="19" t="s">
        <v>44</v>
      </c>
      <c r="I464" s="19" t="s">
        <v>106</v>
      </c>
      <c r="J464" s="19" t="s">
        <v>231</v>
      </c>
      <c r="K464" s="19" t="s">
        <v>108</v>
      </c>
      <c r="L464" s="19" t="s">
        <v>99</v>
      </c>
      <c r="M464" s="19" t="s">
        <v>565</v>
      </c>
      <c r="N464" s="19" t="s">
        <v>2116</v>
      </c>
      <c r="O464" s="19" t="s">
        <v>565</v>
      </c>
      <c r="P464" s="19" t="s">
        <v>633</v>
      </c>
      <c r="Q464" s="19" t="s">
        <v>1166</v>
      </c>
      <c r="R464" s="19" t="s">
        <v>2117</v>
      </c>
      <c r="S464" s="19"/>
      <c r="T464" s="19" t="s">
        <v>52</v>
      </c>
      <c r="U464" s="19" t="s">
        <v>70</v>
      </c>
      <c r="V464" s="19" t="s">
        <v>54</v>
      </c>
      <c r="W464" s="19" t="s">
        <v>81</v>
      </c>
      <c r="X464" s="19" t="s">
        <v>323</v>
      </c>
      <c r="Y464" s="19" t="s">
        <v>323</v>
      </c>
      <c r="Z464" s="19" t="s">
        <v>2118</v>
      </c>
      <c r="AA464" s="19">
        <v>2</v>
      </c>
      <c r="AB464" s="19">
        <v>2</v>
      </c>
      <c r="AC464" s="19" t="s">
        <v>58</v>
      </c>
      <c r="AD464" s="19" t="s">
        <v>633</v>
      </c>
      <c r="AE464" s="19" t="s">
        <v>732</v>
      </c>
      <c r="AF464" s="19"/>
    </row>
    <row r="465" spans="1:34">
      <c r="A465" s="19">
        <v>457</v>
      </c>
      <c r="B465" s="19" t="s">
        <v>724</v>
      </c>
      <c r="C465" s="19" t="s">
        <v>578</v>
      </c>
      <c r="D465" s="19" t="str">
        <f>HYPERLINK("http://henontech.com/fieldsafety/harzard/harzard_show.php?rid=4216&amp;url=harzardrecs.php","西五一底托辊腐烂，胶带在运行中，容易造成划伤")</f>
        <v>西五一底托辊腐烂，胶带在运行中，容易造成划伤</v>
      </c>
      <c r="E465" s="19" t="s">
        <v>2119</v>
      </c>
      <c r="F465" s="20" t="s">
        <v>42</v>
      </c>
      <c r="G465" s="24" t="s">
        <v>251</v>
      </c>
      <c r="H465" s="19" t="s">
        <v>44</v>
      </c>
      <c r="I465" s="19" t="s">
        <v>119</v>
      </c>
      <c r="J465" s="19" t="s">
        <v>45</v>
      </c>
      <c r="K465" s="19"/>
      <c r="L465" s="19"/>
      <c r="M465" s="19" t="s">
        <v>565</v>
      </c>
      <c r="N465" s="19" t="s">
        <v>2120</v>
      </c>
      <c r="O465" s="19" t="s">
        <v>565</v>
      </c>
      <c r="P465" s="19" t="s">
        <v>566</v>
      </c>
      <c r="Q465" s="19" t="s">
        <v>926</v>
      </c>
      <c r="R465" s="19" t="s">
        <v>2121</v>
      </c>
      <c r="S465" s="19"/>
      <c r="T465" s="19" t="s">
        <v>78</v>
      </c>
      <c r="U465" s="19" t="s">
        <v>79</v>
      </c>
      <c r="V465" s="19" t="s">
        <v>71</v>
      </c>
      <c r="W465" s="19" t="s">
        <v>81</v>
      </c>
      <c r="X465" s="19"/>
      <c r="Y465" s="19"/>
      <c r="Z465" s="19" t="s">
        <v>2122</v>
      </c>
      <c r="AA465" s="19">
        <v>1</v>
      </c>
      <c r="AB465" s="19">
        <v>1</v>
      </c>
      <c r="AC465" s="19" t="s">
        <v>58</v>
      </c>
      <c r="AD465" s="19" t="s">
        <v>566</v>
      </c>
      <c r="AE465" s="19" t="s">
        <v>724</v>
      </c>
      <c r="AF465" s="19"/>
    </row>
    <row r="466" spans="1:34" customHeight="1" ht="42">
      <c r="A466" s="19">
        <v>458</v>
      </c>
      <c r="B466" s="19" t="s">
        <v>724</v>
      </c>
      <c r="C466" s="19" t="s">
        <v>578</v>
      </c>
      <c r="D466" s="19" t="str">
        <f>HYPERLINK("http://henontech.com/fieldsafety/harzard/harzard_show.php?rid=4217&amp;url=harzardrecs.php","电器开关灰尘过多，容易起火，引起财产损失")</f>
        <v>电器开关灰尘过多，容易起火，引起财产损失</v>
      </c>
      <c r="E466" s="19" t="s">
        <v>2123</v>
      </c>
      <c r="F466" s="20" t="s">
        <v>42</v>
      </c>
      <c r="G466" s="21" t="s">
        <v>43</v>
      </c>
      <c r="H466" s="19" t="s">
        <v>44</v>
      </c>
      <c r="I466" s="19" t="s">
        <v>97</v>
      </c>
      <c r="J466" s="19" t="s">
        <v>527</v>
      </c>
      <c r="K466" s="19" t="s">
        <v>170</v>
      </c>
      <c r="L466" s="19" t="s">
        <v>99</v>
      </c>
      <c r="M466" s="19" t="s">
        <v>565</v>
      </c>
      <c r="N466" s="19" t="s">
        <v>633</v>
      </c>
      <c r="O466" s="19" t="s">
        <v>565</v>
      </c>
      <c r="P466" s="19" t="s">
        <v>633</v>
      </c>
      <c r="Q466" s="19" t="s">
        <v>1453</v>
      </c>
      <c r="R466" s="19" t="s">
        <v>2084</v>
      </c>
      <c r="S466" s="19"/>
      <c r="T466" s="19" t="s">
        <v>78</v>
      </c>
      <c r="U466" s="19" t="s">
        <v>79</v>
      </c>
      <c r="V466" s="19" t="s">
        <v>54</v>
      </c>
      <c r="W466" s="19" t="s">
        <v>81</v>
      </c>
      <c r="X466" s="19" t="s">
        <v>323</v>
      </c>
      <c r="Y466" s="19" t="s">
        <v>323</v>
      </c>
      <c r="Z466" s="19" t="s">
        <v>2124</v>
      </c>
      <c r="AA466" s="19">
        <v>2</v>
      </c>
      <c r="AB466" s="19">
        <v>2</v>
      </c>
      <c r="AC466" s="19" t="s">
        <v>58</v>
      </c>
      <c r="AD466" s="19" t="s">
        <v>633</v>
      </c>
      <c r="AE466" s="19" t="s">
        <v>732</v>
      </c>
      <c r="AF466" s="19"/>
    </row>
    <row r="467" spans="1:34">
      <c r="A467" s="19">
        <v>459</v>
      </c>
      <c r="B467" s="19" t="s">
        <v>724</v>
      </c>
      <c r="C467" s="19" t="s">
        <v>578</v>
      </c>
      <c r="D467" s="19" t="str">
        <f>HYPERLINK("http://henontech.com/fieldsafety/harzard/harzard_show.php?rid=4218&amp;url=harzardrecs.php","水沟盖板缺失，行人路过时，一脚迈入水沟中，身体前倾，右膝盖着地，造成轻微擦伤，休息一会儿，继续工作。")</f>
        <v>水沟盖板缺失，行人路过时，一脚迈入水沟中，身体前倾，右膝盖着地，造成轻微擦伤，休息一会儿，继续工作。</v>
      </c>
      <c r="E467" s="19" t="s">
        <v>2125</v>
      </c>
      <c r="F467" s="20" t="s">
        <v>42</v>
      </c>
      <c r="G467" s="24" t="s">
        <v>251</v>
      </c>
      <c r="H467" s="19" t="s">
        <v>44</v>
      </c>
      <c r="I467" s="19" t="s">
        <v>119</v>
      </c>
      <c r="J467" s="19" t="s">
        <v>182</v>
      </c>
      <c r="K467" s="19"/>
      <c r="L467" s="19"/>
      <c r="M467" s="19" t="s">
        <v>565</v>
      </c>
      <c r="N467" s="19" t="s">
        <v>616</v>
      </c>
      <c r="O467" s="19" t="s">
        <v>565</v>
      </c>
      <c r="P467" s="19" t="s">
        <v>566</v>
      </c>
      <c r="Q467" s="19" t="s">
        <v>926</v>
      </c>
      <c r="R467" s="19" t="s">
        <v>2126</v>
      </c>
      <c r="S467" s="19"/>
      <c r="T467" s="19" t="s">
        <v>78</v>
      </c>
      <c r="U467" s="19" t="s">
        <v>70</v>
      </c>
      <c r="V467" s="19" t="s">
        <v>71</v>
      </c>
      <c r="W467" s="19" t="s">
        <v>72</v>
      </c>
      <c r="X467" s="19"/>
      <c r="Y467" s="19"/>
      <c r="Z467" s="19" t="s">
        <v>2127</v>
      </c>
      <c r="AA467" s="19">
        <v>1</v>
      </c>
      <c r="AB467" s="19">
        <v>1</v>
      </c>
      <c r="AC467" s="19" t="s">
        <v>58</v>
      </c>
      <c r="AD467" s="19" t="s">
        <v>566</v>
      </c>
      <c r="AE467" s="19" t="s">
        <v>724</v>
      </c>
      <c r="AF467" s="19"/>
    </row>
    <row r="468" spans="1:34" customHeight="1" ht="42">
      <c r="A468" s="19">
        <v>460</v>
      </c>
      <c r="B468" s="19" t="s">
        <v>724</v>
      </c>
      <c r="C468" s="19" t="s">
        <v>578</v>
      </c>
      <c r="D468" s="19" t="str">
        <f>HYPERLINK("http://henontech.com/fieldsafety/harzard/harzard_show.php?rid=4219&amp;url=harzardrecs.php","煤棚西北角水沟盖板缺失，人员从此处经过时掉入水沟，造成腿部骨折")</f>
        <v>煤棚西北角水沟盖板缺失，人员从此处经过时掉入水沟，造成腿部骨折</v>
      </c>
      <c r="E468" s="19" t="s">
        <v>2128</v>
      </c>
      <c r="F468" s="20" t="s">
        <v>42</v>
      </c>
      <c r="G468" s="21" t="s">
        <v>43</v>
      </c>
      <c r="H468" s="19" t="s">
        <v>44</v>
      </c>
      <c r="I468" s="19" t="s">
        <v>97</v>
      </c>
      <c r="J468" s="19" t="s">
        <v>182</v>
      </c>
      <c r="K468" s="19" t="s">
        <v>108</v>
      </c>
      <c r="L468" s="19" t="s">
        <v>99</v>
      </c>
      <c r="M468" s="19" t="s">
        <v>565</v>
      </c>
      <c r="N468" s="19" t="s">
        <v>658</v>
      </c>
      <c r="O468" s="19" t="s">
        <v>565</v>
      </c>
      <c r="P468" s="19" t="s">
        <v>633</v>
      </c>
      <c r="Q468" s="19" t="s">
        <v>1169</v>
      </c>
      <c r="R468" s="19" t="s">
        <v>2129</v>
      </c>
      <c r="S468" s="19"/>
      <c r="T468" s="19" t="s">
        <v>52</v>
      </c>
      <c r="U468" s="19" t="s">
        <v>89</v>
      </c>
      <c r="V468" s="19" t="s">
        <v>54</v>
      </c>
      <c r="W468" s="19" t="s">
        <v>72</v>
      </c>
      <c r="X468" s="19"/>
      <c r="Y468" s="19"/>
      <c r="Z468" s="19" t="s">
        <v>2130</v>
      </c>
      <c r="AA468" s="19">
        <v>2</v>
      </c>
      <c r="AB468" s="19">
        <v>2</v>
      </c>
      <c r="AC468" s="19" t="s">
        <v>58</v>
      </c>
      <c r="AD468" s="19" t="s">
        <v>633</v>
      </c>
      <c r="AE468" s="19" t="s">
        <v>860</v>
      </c>
      <c r="AF468" s="19"/>
    </row>
    <row r="469" spans="1:34" customHeight="1" ht="42">
      <c r="A469" s="19">
        <v>461</v>
      </c>
      <c r="B469" s="19" t="s">
        <v>724</v>
      </c>
      <c r="C469" s="19" t="s">
        <v>2114</v>
      </c>
      <c r="D469" s="19" t="str">
        <f>HYPERLINK("http://henontech.com/fieldsafety/harzard/harzard_show.php?rid=4220&amp;url=harzardrecs.php","开关附近金属杂物多，晚上一职工在合闸时把金属物碰到开关接触点上导致触电，送医务室检查无大碍。")</f>
        <v>开关附近金属杂物多，晚上一职工在合闸时把金属物碰到开关接触点上导致触电，送医务室检查无大碍。</v>
      </c>
      <c r="E469" s="19" t="s">
        <v>2131</v>
      </c>
      <c r="F469" s="20" t="s">
        <v>42</v>
      </c>
      <c r="G469" s="21" t="s">
        <v>43</v>
      </c>
      <c r="H469" s="19" t="s">
        <v>44</v>
      </c>
      <c r="I469" s="19"/>
      <c r="J469" s="19"/>
      <c r="K469" s="19"/>
      <c r="L469" s="19" t="s">
        <v>99</v>
      </c>
      <c r="M469" s="19" t="s">
        <v>565</v>
      </c>
      <c r="N469" s="19" t="s">
        <v>2132</v>
      </c>
      <c r="O469" s="19" t="s">
        <v>565</v>
      </c>
      <c r="P469" s="19" t="s">
        <v>633</v>
      </c>
      <c r="Q469" s="19" t="s">
        <v>1169</v>
      </c>
      <c r="R469" s="19" t="s">
        <v>2133</v>
      </c>
      <c r="S469" s="19"/>
      <c r="T469" s="19" t="s">
        <v>52</v>
      </c>
      <c r="U469" s="19" t="s">
        <v>79</v>
      </c>
      <c r="V469" s="19" t="s">
        <v>124</v>
      </c>
      <c r="W469" s="19" t="s">
        <v>81</v>
      </c>
      <c r="X469" s="19" t="s">
        <v>323</v>
      </c>
      <c r="Y469" s="19" t="s">
        <v>323</v>
      </c>
      <c r="Z469" s="19" t="s">
        <v>2134</v>
      </c>
      <c r="AA469" s="19">
        <v>2</v>
      </c>
      <c r="AB469" s="19">
        <v>2</v>
      </c>
      <c r="AC469" s="19" t="s">
        <v>58</v>
      </c>
      <c r="AD469" s="19" t="s">
        <v>633</v>
      </c>
      <c r="AE469" s="19" t="s">
        <v>860</v>
      </c>
      <c r="AF469" s="19"/>
    </row>
    <row r="470" spans="1:34" customHeight="1" ht="42">
      <c r="A470" s="19">
        <v>462</v>
      </c>
      <c r="B470" s="19" t="s">
        <v>724</v>
      </c>
      <c r="C470" s="19" t="s">
        <v>578</v>
      </c>
      <c r="D470" s="19" t="str">
        <f>HYPERLINK("http://henontech.com/fieldsafety/harzard/harzard_show.php?rid=4221&amp;url=harzardrecs.php","一职工在关闭阀门时不慎掉落水池被救出经检查发现右脚扭伤。")</f>
        <v>一职工在关闭阀门时不慎掉落水池被救出经检查发现右脚扭伤。</v>
      </c>
      <c r="E470" s="19" t="s">
        <v>2135</v>
      </c>
      <c r="F470" s="20" t="s">
        <v>42</v>
      </c>
      <c r="G470" s="21" t="s">
        <v>43</v>
      </c>
      <c r="H470" s="19" t="s">
        <v>44</v>
      </c>
      <c r="I470" s="19" t="s">
        <v>97</v>
      </c>
      <c r="J470" s="19" t="s">
        <v>45</v>
      </c>
      <c r="K470" s="19" t="s">
        <v>108</v>
      </c>
      <c r="L470" s="19" t="s">
        <v>99</v>
      </c>
      <c r="M470" s="19" t="s">
        <v>565</v>
      </c>
      <c r="N470" s="19" t="s">
        <v>637</v>
      </c>
      <c r="O470" s="19" t="s">
        <v>565</v>
      </c>
      <c r="P470" s="19" t="s">
        <v>633</v>
      </c>
      <c r="Q470" s="19" t="s">
        <v>2020</v>
      </c>
      <c r="R470" s="19" t="s">
        <v>2136</v>
      </c>
      <c r="S470" s="19"/>
      <c r="T470" s="19" t="s">
        <v>52</v>
      </c>
      <c r="U470" s="19" t="s">
        <v>89</v>
      </c>
      <c r="V470" s="19" t="s">
        <v>54</v>
      </c>
      <c r="W470" s="19" t="s">
        <v>72</v>
      </c>
      <c r="X470" s="19" t="s">
        <v>323</v>
      </c>
      <c r="Y470" s="19" t="s">
        <v>323</v>
      </c>
      <c r="Z470" s="19" t="s">
        <v>2137</v>
      </c>
      <c r="AA470" s="19">
        <v>2</v>
      </c>
      <c r="AB470" s="19">
        <v>2</v>
      </c>
      <c r="AC470" s="19" t="s">
        <v>58</v>
      </c>
      <c r="AD470" s="19" t="s">
        <v>633</v>
      </c>
      <c r="AE470" s="19" t="s">
        <v>732</v>
      </c>
      <c r="AF470" s="19"/>
    </row>
    <row r="471" spans="1:34" customHeight="1" ht="42">
      <c r="A471" s="19">
        <v>463</v>
      </c>
      <c r="B471" s="19" t="s">
        <v>724</v>
      </c>
      <c r="C471" s="19" t="s">
        <v>586</v>
      </c>
      <c r="D471" s="19" t="str">
        <f>HYPERLINK("http://henontech.com/fieldsafety/harzard/harzard_show.php?rid=4222&amp;url=harzardrecs.php","煤十行走电机连轴销磨损严重，开机时突然断裂，造成带料停车，设备损坏")</f>
        <v>煤十行走电机连轴销磨损严重，开机时突然断裂，造成带料停车，设备损坏</v>
      </c>
      <c r="E471" s="19" t="s">
        <v>2138</v>
      </c>
      <c r="F471" s="20" t="s">
        <v>42</v>
      </c>
      <c r="G471" s="21" t="s">
        <v>43</v>
      </c>
      <c r="H471" s="19" t="s">
        <v>44</v>
      </c>
      <c r="I471" s="19" t="s">
        <v>97</v>
      </c>
      <c r="J471" s="19" t="s">
        <v>45</v>
      </c>
      <c r="K471" s="19" t="s">
        <v>170</v>
      </c>
      <c r="L471" s="19" t="s">
        <v>99</v>
      </c>
      <c r="M471" s="19" t="s">
        <v>565</v>
      </c>
      <c r="N471" s="19" t="s">
        <v>658</v>
      </c>
      <c r="O471" s="19" t="s">
        <v>565</v>
      </c>
      <c r="P471" s="19" t="s">
        <v>633</v>
      </c>
      <c r="Q471" s="19" t="s">
        <v>1169</v>
      </c>
      <c r="R471" s="19" t="s">
        <v>659</v>
      </c>
      <c r="S471" s="19"/>
      <c r="T471" s="19" t="s">
        <v>78</v>
      </c>
      <c r="U471" s="19" t="s">
        <v>79</v>
      </c>
      <c r="V471" s="19" t="s">
        <v>80</v>
      </c>
      <c r="W471" s="19" t="s">
        <v>81</v>
      </c>
      <c r="X471" s="19" t="s">
        <v>73</v>
      </c>
      <c r="Y471" s="19" t="s">
        <v>73</v>
      </c>
      <c r="Z471" s="19" t="s">
        <v>2139</v>
      </c>
      <c r="AA471" s="19">
        <v>2</v>
      </c>
      <c r="AB471" s="19">
        <v>2</v>
      </c>
      <c r="AC471" s="19" t="s">
        <v>58</v>
      </c>
      <c r="AD471" s="19" t="s">
        <v>633</v>
      </c>
      <c r="AE471" s="19" t="s">
        <v>932</v>
      </c>
      <c r="AF471" s="19"/>
    </row>
    <row r="472" spans="1:34" customHeight="1" ht="42">
      <c r="A472" s="19">
        <v>464</v>
      </c>
      <c r="B472" s="19" t="s">
        <v>724</v>
      </c>
      <c r="C472" s="19" t="s">
        <v>1670</v>
      </c>
      <c r="D472" s="19" t="str">
        <f>HYPERLINK("http://henontech.com/fieldsafety/harzard/harzard_show.php?rid=4223&amp;url=harzardrecs.php","焦渣掺配处搅拌机轴承座螺栓松动，一旦配煤上料事时，损坏设备。")</f>
        <v>焦渣掺配处搅拌机轴承座螺栓松动，一旦配煤上料事时，损坏设备。</v>
      </c>
      <c r="E472" s="19" t="s">
        <v>2140</v>
      </c>
      <c r="F472" s="20" t="s">
        <v>42</v>
      </c>
      <c r="G472" s="21" t="s">
        <v>43</v>
      </c>
      <c r="H472" s="19" t="s">
        <v>44</v>
      </c>
      <c r="I472" s="19"/>
      <c r="J472" s="19" t="s">
        <v>45</v>
      </c>
      <c r="K472" s="19"/>
      <c r="L472" s="19"/>
      <c r="M472" s="19" t="s">
        <v>565</v>
      </c>
      <c r="N472" s="19" t="s">
        <v>1231</v>
      </c>
      <c r="O472" s="19" t="s">
        <v>565</v>
      </c>
      <c r="P472" s="19" t="s">
        <v>633</v>
      </c>
      <c r="Q472" s="19" t="s">
        <v>732</v>
      </c>
      <c r="R472" s="19" t="s">
        <v>644</v>
      </c>
      <c r="S472" s="19"/>
      <c r="T472" s="19" t="s">
        <v>78</v>
      </c>
      <c r="U472" s="19" t="s">
        <v>70</v>
      </c>
      <c r="V472" s="19" t="s">
        <v>71</v>
      </c>
      <c r="W472" s="19" t="s">
        <v>72</v>
      </c>
      <c r="X472" s="19" t="s">
        <v>323</v>
      </c>
      <c r="Y472" s="19" t="s">
        <v>323</v>
      </c>
      <c r="Z472" s="19" t="s">
        <v>2141</v>
      </c>
      <c r="AA472" s="19">
        <v>2</v>
      </c>
      <c r="AB472" s="19">
        <v>2</v>
      </c>
      <c r="AC472" s="19" t="s">
        <v>58</v>
      </c>
      <c r="AD472" s="19" t="s">
        <v>633</v>
      </c>
      <c r="AE472" s="19" t="s">
        <v>732</v>
      </c>
      <c r="AF472" s="19"/>
    </row>
    <row r="473" spans="1:34">
      <c r="A473" s="19">
        <v>465</v>
      </c>
      <c r="B473" s="19" t="s">
        <v>724</v>
      </c>
      <c r="C473" s="19" t="s">
        <v>929</v>
      </c>
      <c r="D473" s="19" t="str">
        <f>HYPERLINK("http://henontech.com/fieldsafety/harzard/harzard_show.php?rid=4224&amp;url=harzardrecs.php","一名操作工在放硫时，右手臂如果不慎碰到管线皮肤烫伤。去医务室治疗，休息三天、损工三天")</f>
        <v>一名操作工在放硫时，右手臂如果不慎碰到管线皮肤烫伤。去医务室治疗，休息三天、损工三天</v>
      </c>
      <c r="E473" s="19" t="s">
        <v>2142</v>
      </c>
      <c r="F473" s="20" t="s">
        <v>42</v>
      </c>
      <c r="G473" s="22" t="s">
        <v>64</v>
      </c>
      <c r="H473" s="19" t="s">
        <v>44</v>
      </c>
      <c r="I473" s="19" t="s">
        <v>97</v>
      </c>
      <c r="J473" s="19" t="s">
        <v>45</v>
      </c>
      <c r="K473" s="19" t="s">
        <v>108</v>
      </c>
      <c r="L473" s="19" t="s">
        <v>99</v>
      </c>
      <c r="M473" s="19" t="s">
        <v>334</v>
      </c>
      <c r="N473" s="19" t="s">
        <v>931</v>
      </c>
      <c r="O473" s="19" t="s">
        <v>334</v>
      </c>
      <c r="P473" s="19" t="s">
        <v>346</v>
      </c>
      <c r="Q473" s="19" t="s">
        <v>2012</v>
      </c>
      <c r="R473" s="19" t="s">
        <v>443</v>
      </c>
      <c r="S473" s="19"/>
      <c r="T473" s="19" t="s">
        <v>52</v>
      </c>
      <c r="U473" s="19" t="s">
        <v>89</v>
      </c>
      <c r="V473" s="19" t="s">
        <v>71</v>
      </c>
      <c r="W473" s="19" t="s">
        <v>55</v>
      </c>
      <c r="X473" s="19"/>
      <c r="Y473" s="19"/>
      <c r="Z473" s="19" t="s">
        <v>2143</v>
      </c>
      <c r="AA473" s="19">
        <v>1</v>
      </c>
      <c r="AB473" s="19">
        <v>1</v>
      </c>
      <c r="AC473" s="19" t="s">
        <v>58</v>
      </c>
      <c r="AD473" s="19" t="s">
        <v>346</v>
      </c>
      <c r="AE473" s="19" t="s">
        <v>2144</v>
      </c>
      <c r="AF473" s="19"/>
    </row>
    <row r="474" spans="1:34" customHeight="1" ht="42">
      <c r="A474" s="19">
        <v>466</v>
      </c>
      <c r="B474" s="19" t="s">
        <v>724</v>
      </c>
      <c r="C474" s="19" t="s">
        <v>578</v>
      </c>
      <c r="D474" s="19" t="str">
        <f>HYPERLINK("http://henontech.com/fieldsafety/harzard/harzard_show.php?rid=4225&amp;url=harzardrecs.php","西五涨紧立柱下角铁裸露，清理涨紧下积煤时，绊倒，休息一会，正常上班操作")</f>
        <v>西五涨紧立柱下角铁裸露，清理涨紧下积煤时，绊倒，休息一会，正常上班操作</v>
      </c>
      <c r="E474" s="19" t="s">
        <v>2145</v>
      </c>
      <c r="F474" s="20" t="s">
        <v>42</v>
      </c>
      <c r="G474" s="21" t="s">
        <v>43</v>
      </c>
      <c r="H474" s="19" t="s">
        <v>44</v>
      </c>
      <c r="I474" s="19"/>
      <c r="J474" s="19" t="s">
        <v>45</v>
      </c>
      <c r="K474" s="19" t="s">
        <v>108</v>
      </c>
      <c r="L474" s="19" t="s">
        <v>99</v>
      </c>
      <c r="M474" s="19" t="s">
        <v>565</v>
      </c>
      <c r="N474" s="19" t="s">
        <v>1192</v>
      </c>
      <c r="O474" s="19" t="s">
        <v>565</v>
      </c>
      <c r="P474" s="19" t="s">
        <v>633</v>
      </c>
      <c r="Q474" s="19" t="s">
        <v>1108</v>
      </c>
      <c r="R474" s="19" t="s">
        <v>2146</v>
      </c>
      <c r="S474" s="19"/>
      <c r="T474" s="19" t="s">
        <v>52</v>
      </c>
      <c r="U474" s="19" t="s">
        <v>79</v>
      </c>
      <c r="V474" s="19" t="s">
        <v>124</v>
      </c>
      <c r="W474" s="19" t="s">
        <v>81</v>
      </c>
      <c r="X474" s="19" t="s">
        <v>323</v>
      </c>
      <c r="Y474" s="19" t="s">
        <v>323</v>
      </c>
      <c r="Z474" s="19" t="s">
        <v>2147</v>
      </c>
      <c r="AA474" s="19">
        <v>2</v>
      </c>
      <c r="AB474" s="19">
        <v>2</v>
      </c>
      <c r="AC474" s="19" t="s">
        <v>58</v>
      </c>
      <c r="AD474" s="19" t="s">
        <v>633</v>
      </c>
      <c r="AE474" s="19" t="s">
        <v>860</v>
      </c>
      <c r="AF474" s="19"/>
    </row>
    <row r="475" spans="1:34" customHeight="1" ht="42">
      <c r="A475" s="19">
        <v>467</v>
      </c>
      <c r="B475" s="19" t="s">
        <v>724</v>
      </c>
      <c r="C475" s="19" t="s">
        <v>586</v>
      </c>
      <c r="D475" s="19" t="str">
        <f>HYPERLINK("http://henontech.com/fieldsafety/harzard/harzard_show.php?rid=4226&amp;url=harzardrecs.php","煤九机头电动滚筒-电机连轴销磨损异响 ，一旦开机容易造成设备损坏，负荷倒带。")</f>
        <v>煤九机头电动滚筒-电机连轴销磨损异响 ，一旦开机容易造成设备损坏，负荷倒带。</v>
      </c>
      <c r="E475" s="19" t="s">
        <v>2140</v>
      </c>
      <c r="F475" s="20" t="s">
        <v>42</v>
      </c>
      <c r="G475" s="22" t="s">
        <v>64</v>
      </c>
      <c r="H475" s="19" t="s">
        <v>44</v>
      </c>
      <c r="I475" s="19"/>
      <c r="J475" s="19" t="s">
        <v>45</v>
      </c>
      <c r="K475" s="19"/>
      <c r="L475" s="19"/>
      <c r="M475" s="19" t="s">
        <v>565</v>
      </c>
      <c r="N475" s="19" t="s">
        <v>999</v>
      </c>
      <c r="O475" s="19" t="s">
        <v>565</v>
      </c>
      <c r="P475" s="19" t="s">
        <v>633</v>
      </c>
      <c r="Q475" s="19" t="s">
        <v>1108</v>
      </c>
      <c r="R475" s="19" t="s">
        <v>1216</v>
      </c>
      <c r="S475" s="19"/>
      <c r="T475" s="19" t="s">
        <v>78</v>
      </c>
      <c r="U475" s="19" t="s">
        <v>70</v>
      </c>
      <c r="V475" s="19" t="s">
        <v>71</v>
      </c>
      <c r="W475" s="19" t="s">
        <v>72</v>
      </c>
      <c r="X475" s="19" t="s">
        <v>73</v>
      </c>
      <c r="Y475" s="19" t="s">
        <v>73</v>
      </c>
      <c r="Z475" s="19" t="s">
        <v>2148</v>
      </c>
      <c r="AA475" s="19">
        <v>2</v>
      </c>
      <c r="AB475" s="19">
        <v>2</v>
      </c>
      <c r="AC475" s="19" t="s">
        <v>58</v>
      </c>
      <c r="AD475" s="19" t="s">
        <v>633</v>
      </c>
      <c r="AE475" s="19" t="s">
        <v>732</v>
      </c>
      <c r="AF475" s="19"/>
    </row>
    <row r="476" spans="1:34">
      <c r="A476" s="19">
        <v>468</v>
      </c>
      <c r="B476" s="19" t="s">
        <v>724</v>
      </c>
      <c r="C476" s="19" t="s">
        <v>563</v>
      </c>
      <c r="D476" s="19" t="str">
        <f>HYPERLINK("http://henontech.com/fieldsafety/harzard/harzard_show.php?rid=4227&amp;url=harzardrecs.php","东四机尾空段清扫器刮皮磨损严重 ，一旦长时间开机运行，就会造成胶带划伤，停车检修影响生产。")</f>
        <v>东四机尾空段清扫器刮皮磨损严重 ，一旦长时间开机运行，就会造成胶带划伤，停车检修影响生产。</v>
      </c>
      <c r="E476" s="19" t="s">
        <v>2140</v>
      </c>
      <c r="F476" s="20" t="s">
        <v>42</v>
      </c>
      <c r="G476" s="21" t="s">
        <v>43</v>
      </c>
      <c r="H476" s="19" t="s">
        <v>44</v>
      </c>
      <c r="I476" s="19"/>
      <c r="J476" s="19" t="s">
        <v>45</v>
      </c>
      <c r="K476" s="19"/>
      <c r="L476" s="19"/>
      <c r="M476" s="19" t="s">
        <v>565</v>
      </c>
      <c r="N476" s="19" t="s">
        <v>1022</v>
      </c>
      <c r="O476" s="19" t="s">
        <v>565</v>
      </c>
      <c r="P476" s="19" t="s">
        <v>627</v>
      </c>
      <c r="Q476" s="19" t="s">
        <v>732</v>
      </c>
      <c r="R476" s="19" t="s">
        <v>1317</v>
      </c>
      <c r="S476" s="19"/>
      <c r="T476" s="19" t="s">
        <v>78</v>
      </c>
      <c r="U476" s="19" t="s">
        <v>70</v>
      </c>
      <c r="V476" s="19" t="s">
        <v>71</v>
      </c>
      <c r="W476" s="19" t="s">
        <v>72</v>
      </c>
      <c r="X476" s="19" t="s">
        <v>582</v>
      </c>
      <c r="Y476" s="19" t="s">
        <v>90</v>
      </c>
      <c r="Z476" s="19" t="s">
        <v>2149</v>
      </c>
      <c r="AA476" s="19">
        <v>1</v>
      </c>
      <c r="AB476" s="19">
        <v>1</v>
      </c>
      <c r="AC476" s="19" t="s">
        <v>58</v>
      </c>
      <c r="AD476" s="19" t="s">
        <v>627</v>
      </c>
      <c r="AE476" s="19" t="s">
        <v>732</v>
      </c>
      <c r="AF476" s="19"/>
    </row>
    <row r="477" spans="1:34" customHeight="1" ht="42">
      <c r="A477" s="19">
        <v>469</v>
      </c>
      <c r="B477" s="19" t="s">
        <v>724</v>
      </c>
      <c r="C477" s="19" t="s">
        <v>586</v>
      </c>
      <c r="D477" s="19" t="str">
        <f>HYPERLINK("http://henontech.com/fieldsafety/harzard/harzard_show.php?rid=4228&amp;url=harzardrecs.php","1618 1＃破碎机北面西侧观察孔一紧固螺栓开焊脱落，运行时破碎机内部挤压力过大，将观察孔盖撑开，导致漏煤严重，造成停机处理。")</f>
        <v>1618 1＃破碎机北面西侧观察孔一紧固螺栓开焊脱落，运行时破碎机内部挤压力过大，将观察孔盖撑开，导致漏煤严重，造成停机处理。</v>
      </c>
      <c r="E477" s="19" t="s">
        <v>2150</v>
      </c>
      <c r="F477" s="20" t="s">
        <v>42</v>
      </c>
      <c r="G477" s="22" t="s">
        <v>64</v>
      </c>
      <c r="H477" s="19" t="s">
        <v>44</v>
      </c>
      <c r="I477" s="19"/>
      <c r="J477" s="19"/>
      <c r="K477" s="19"/>
      <c r="L477" s="19" t="s">
        <v>99</v>
      </c>
      <c r="M477" s="19" t="s">
        <v>565</v>
      </c>
      <c r="N477" s="19" t="s">
        <v>758</v>
      </c>
      <c r="O477" s="19" t="s">
        <v>565</v>
      </c>
      <c r="P477" s="19" t="s">
        <v>633</v>
      </c>
      <c r="Q477" s="19" t="s">
        <v>1108</v>
      </c>
      <c r="R477" s="19" t="s">
        <v>650</v>
      </c>
      <c r="S477" s="19"/>
      <c r="T477" s="19" t="s">
        <v>78</v>
      </c>
      <c r="U477" s="19" t="s">
        <v>79</v>
      </c>
      <c r="V477" s="19" t="s">
        <v>80</v>
      </c>
      <c r="W477" s="19" t="s">
        <v>81</v>
      </c>
      <c r="X477" s="19" t="s">
        <v>73</v>
      </c>
      <c r="Y477" s="19" t="s">
        <v>73</v>
      </c>
      <c r="Z477" s="19" t="s">
        <v>2151</v>
      </c>
      <c r="AA477" s="19">
        <v>2</v>
      </c>
      <c r="AB477" s="19">
        <v>2</v>
      </c>
      <c r="AC477" s="19" t="s">
        <v>58</v>
      </c>
      <c r="AD477" s="19" t="s">
        <v>633</v>
      </c>
      <c r="AE477" s="19" t="s">
        <v>932</v>
      </c>
      <c r="AF477" s="19"/>
    </row>
    <row r="478" spans="1:34" customHeight="1" ht="42">
      <c r="A478" s="19">
        <v>470</v>
      </c>
      <c r="B478" s="19" t="s">
        <v>724</v>
      </c>
      <c r="C478" s="19" t="s">
        <v>586</v>
      </c>
      <c r="D478" s="19" t="str">
        <f>HYPERLINK("http://henontech.com/fieldsafety/harzard/harzard_show.php?rid=4229&amp;url=harzardrecs.php","油头漏油，造成部分设备不能正常运行")</f>
        <v>油头漏油，造成部分设备不能正常运行</v>
      </c>
      <c r="E478" s="19" t="s">
        <v>2152</v>
      </c>
      <c r="F478" s="20" t="s">
        <v>42</v>
      </c>
      <c r="G478" s="22" t="s">
        <v>64</v>
      </c>
      <c r="H478" s="19" t="s">
        <v>44</v>
      </c>
      <c r="I478" s="19"/>
      <c r="J478" s="19" t="s">
        <v>45</v>
      </c>
      <c r="K478" s="19"/>
      <c r="L478" s="19" t="s">
        <v>99</v>
      </c>
      <c r="M478" s="19" t="s">
        <v>565</v>
      </c>
      <c r="N478" s="19" t="s">
        <v>606</v>
      </c>
      <c r="O478" s="19" t="s">
        <v>565</v>
      </c>
      <c r="P478" s="19" t="s">
        <v>606</v>
      </c>
      <c r="Q478" s="19" t="s">
        <v>1731</v>
      </c>
      <c r="R478" s="19" t="s">
        <v>650</v>
      </c>
      <c r="S478" s="19"/>
      <c r="T478" s="19" t="s">
        <v>78</v>
      </c>
      <c r="U478" s="19" t="s">
        <v>79</v>
      </c>
      <c r="V478" s="19" t="s">
        <v>71</v>
      </c>
      <c r="W478" s="19" t="s">
        <v>81</v>
      </c>
      <c r="X478" s="19" t="s">
        <v>73</v>
      </c>
      <c r="Y478" s="19" t="s">
        <v>73</v>
      </c>
      <c r="Z478" s="19" t="s">
        <v>2153</v>
      </c>
      <c r="AA478" s="19">
        <v>2</v>
      </c>
      <c r="AB478" s="19">
        <v>2</v>
      </c>
      <c r="AC478" s="19" t="s">
        <v>58</v>
      </c>
      <c r="AD478" s="19" t="s">
        <v>606</v>
      </c>
      <c r="AE478" s="19" t="s">
        <v>724</v>
      </c>
      <c r="AF478" s="19" t="s">
        <v>2154</v>
      </c>
    </row>
    <row r="479" spans="1:34" customHeight="1" ht="42">
      <c r="A479" s="19">
        <v>471</v>
      </c>
      <c r="B479" s="19" t="s">
        <v>724</v>
      </c>
      <c r="C479" s="19" t="s">
        <v>2114</v>
      </c>
      <c r="D479" s="19" t="str">
        <f>HYPERLINK("http://henontech.com/fieldsafety/harzard/harzard_show.php?rid=4230&amp;url=harzardrecs.php","一名操作清理料口时不慎被外漏钢筋绊倒，导致右手手腕骨折，住院治疗一个月，在家休养两个月。")</f>
        <v>一名操作清理料口时不慎被外漏钢筋绊倒，导致右手手腕骨折，住院治疗一个月，在家休养两个月。</v>
      </c>
      <c r="E479" s="19" t="s">
        <v>2155</v>
      </c>
      <c r="F479" s="20" t="s">
        <v>42</v>
      </c>
      <c r="G479" s="22" t="s">
        <v>64</v>
      </c>
      <c r="H479" s="19" t="s">
        <v>592</v>
      </c>
      <c r="I479" s="19" t="s">
        <v>97</v>
      </c>
      <c r="J479" s="19" t="s">
        <v>527</v>
      </c>
      <c r="K479" s="19" t="s">
        <v>98</v>
      </c>
      <c r="L479" s="19" t="s">
        <v>99</v>
      </c>
      <c r="M479" s="19" t="s">
        <v>565</v>
      </c>
      <c r="N479" s="19" t="s">
        <v>2156</v>
      </c>
      <c r="O479" s="19" t="s">
        <v>565</v>
      </c>
      <c r="P479" s="19" t="s">
        <v>633</v>
      </c>
      <c r="Q479" s="19" t="s">
        <v>1166</v>
      </c>
      <c r="R479" s="19" t="s">
        <v>2157</v>
      </c>
      <c r="S479" s="19"/>
      <c r="T479" s="19" t="s">
        <v>52</v>
      </c>
      <c r="U479" s="19" t="s">
        <v>70</v>
      </c>
      <c r="V479" s="19" t="s">
        <v>71</v>
      </c>
      <c r="W479" s="19" t="s">
        <v>72</v>
      </c>
      <c r="X479" s="19" t="s">
        <v>323</v>
      </c>
      <c r="Y479" s="19" t="s">
        <v>323</v>
      </c>
      <c r="Z479" s="19" t="s">
        <v>2158</v>
      </c>
      <c r="AA479" s="19">
        <v>2</v>
      </c>
      <c r="AB479" s="19">
        <v>2</v>
      </c>
      <c r="AC479" s="19" t="s">
        <v>58</v>
      </c>
      <c r="AD479" s="19" t="s">
        <v>633</v>
      </c>
      <c r="AE479" s="19" t="s">
        <v>732</v>
      </c>
      <c r="AF479" s="19"/>
    </row>
    <row r="480" spans="1:34" customHeight="1" ht="42">
      <c r="A480" s="19">
        <v>472</v>
      </c>
      <c r="B480" s="19" t="s">
        <v>724</v>
      </c>
      <c r="C480" s="19" t="s">
        <v>586</v>
      </c>
      <c r="D480" s="19" t="str">
        <f>HYPERLINK("http://henontech.com/fieldsafety/harzard/harzard_show.php?rid=4231&amp;url=harzardrecs.php","煤八机头积煤多未及时清，运行中一旦顶带，会造成胶带偏带、撕裂。")</f>
        <v>煤八机头积煤多未及时清，运行中一旦顶带，会造成胶带偏带、撕裂。</v>
      </c>
      <c r="E480" s="19" t="s">
        <v>2140</v>
      </c>
      <c r="F480" s="20" t="s">
        <v>42</v>
      </c>
      <c r="G480" s="22" t="s">
        <v>64</v>
      </c>
      <c r="H480" s="19" t="s">
        <v>44</v>
      </c>
      <c r="I480" s="19" t="s">
        <v>532</v>
      </c>
      <c r="J480" s="19" t="s">
        <v>2159</v>
      </c>
      <c r="K480" s="19"/>
      <c r="L480" s="19"/>
      <c r="M480" s="19" t="s">
        <v>565</v>
      </c>
      <c r="N480" s="19" t="s">
        <v>2160</v>
      </c>
      <c r="O480" s="19" t="s">
        <v>565</v>
      </c>
      <c r="P480" s="19" t="s">
        <v>633</v>
      </c>
      <c r="Q480" s="19" t="s">
        <v>860</v>
      </c>
      <c r="R480" s="19" t="s">
        <v>1232</v>
      </c>
      <c r="S480" s="19"/>
      <c r="T480" s="19" t="s">
        <v>78</v>
      </c>
      <c r="U480" s="19" t="s">
        <v>70</v>
      </c>
      <c r="V480" s="19" t="s">
        <v>71</v>
      </c>
      <c r="W480" s="19" t="s">
        <v>72</v>
      </c>
      <c r="X480" s="19" t="s">
        <v>323</v>
      </c>
      <c r="Y480" s="19" t="s">
        <v>323</v>
      </c>
      <c r="Z480" s="19" t="s">
        <v>2161</v>
      </c>
      <c r="AA480" s="19">
        <v>2</v>
      </c>
      <c r="AB480" s="19">
        <v>2</v>
      </c>
      <c r="AC480" s="19" t="s">
        <v>58</v>
      </c>
      <c r="AD480" s="19" t="s">
        <v>633</v>
      </c>
      <c r="AE480" s="19" t="s">
        <v>732</v>
      </c>
      <c r="AF480" s="19"/>
    </row>
    <row r="481" spans="1:34" customHeight="1" ht="42">
      <c r="A481" s="19">
        <v>473</v>
      </c>
      <c r="B481" s="19" t="s">
        <v>724</v>
      </c>
      <c r="C481" s="19" t="s">
        <v>586</v>
      </c>
      <c r="D481" s="19" t="str">
        <f>HYPERLINK("http://henontech.com/fieldsafety/harzard/harzard_show.php?rid=4232&amp;url=harzardrecs.php","夜班，一名员工违规到平台乘凉时，靠到了护栏的断裂部位，导致坠落于30米地面身亡。")</f>
        <v>夜班，一名员工违规到平台乘凉时，靠到了护栏的断裂部位，导致坠落于30米地面身亡。</v>
      </c>
      <c r="E481" s="19" t="s">
        <v>735</v>
      </c>
      <c r="F481" s="20" t="s">
        <v>42</v>
      </c>
      <c r="G481" s="24" t="s">
        <v>251</v>
      </c>
      <c r="H481" s="19" t="s">
        <v>44</v>
      </c>
      <c r="I481" s="19" t="s">
        <v>119</v>
      </c>
      <c r="J481" s="19" t="s">
        <v>45</v>
      </c>
      <c r="K481" s="19" t="s">
        <v>108</v>
      </c>
      <c r="L481" s="19" t="s">
        <v>99</v>
      </c>
      <c r="M481" s="19" t="s">
        <v>565</v>
      </c>
      <c r="N481" s="19" t="s">
        <v>627</v>
      </c>
      <c r="O481" s="19" t="s">
        <v>565</v>
      </c>
      <c r="P481" s="19" t="s">
        <v>627</v>
      </c>
      <c r="Q481" s="19" t="s">
        <v>732</v>
      </c>
      <c r="R481" s="19" t="s">
        <v>1216</v>
      </c>
      <c r="S481" s="19"/>
      <c r="T481" s="19" t="s">
        <v>52</v>
      </c>
      <c r="U481" s="19" t="s">
        <v>53</v>
      </c>
      <c r="V481" s="19" t="s">
        <v>71</v>
      </c>
      <c r="W481" s="19" t="s">
        <v>116</v>
      </c>
      <c r="X481" s="19" t="s">
        <v>73</v>
      </c>
      <c r="Y481" s="19"/>
      <c r="Z481" s="19" t="s">
        <v>2162</v>
      </c>
      <c r="AA481" s="19">
        <v>2</v>
      </c>
      <c r="AB481" s="19">
        <v>2</v>
      </c>
      <c r="AC481" s="19" t="s">
        <v>58</v>
      </c>
      <c r="AD481" s="19" t="s">
        <v>627</v>
      </c>
      <c r="AE481" s="19" t="s">
        <v>724</v>
      </c>
      <c r="AF481" s="19"/>
    </row>
    <row r="482" spans="1:34" customHeight="1" ht="42">
      <c r="A482" s="19">
        <v>474</v>
      </c>
      <c r="B482" s="19" t="s">
        <v>724</v>
      </c>
      <c r="C482" s="19" t="s">
        <v>1327</v>
      </c>
      <c r="D482" s="19" t="str">
        <f>HYPERLINK("http://henontech.com/fieldsafety/harzard/harzard_show.php?rid=4235&amp;url=harzardrecs.php","5.5米捣鼓机通廊西侧平台离地面约15米无踢脚板，若人员在平台吊物品时1人从下方路过物品掉落被砸中头部造成1名员工死亡")</f>
        <v>5.5米捣鼓机通廊西侧平台离地面约15米无踢脚板，若人员在平台吊物品时1人从下方路过物品掉落被砸中头部造成1名员工死亡</v>
      </c>
      <c r="E482" s="19" t="s">
        <v>41</v>
      </c>
      <c r="F482" s="25" t="s">
        <v>828</v>
      </c>
      <c r="G482" s="21" t="s">
        <v>43</v>
      </c>
      <c r="H482" s="19" t="s">
        <v>44</v>
      </c>
      <c r="I482" s="19" t="s">
        <v>97</v>
      </c>
      <c r="J482" s="19" t="s">
        <v>182</v>
      </c>
      <c r="K482" s="19" t="s">
        <v>176</v>
      </c>
      <c r="L482" s="19" t="s">
        <v>99</v>
      </c>
      <c r="M482" s="19" t="s">
        <v>46</v>
      </c>
      <c r="N482" s="19" t="s">
        <v>2163</v>
      </c>
      <c r="O482" s="19" t="s">
        <v>46</v>
      </c>
      <c r="P482" s="19" t="s">
        <v>219</v>
      </c>
      <c r="Q482" s="19" t="s">
        <v>830</v>
      </c>
      <c r="R482" s="19" t="s">
        <v>2164</v>
      </c>
      <c r="S482" s="19"/>
      <c r="T482" s="19" t="s">
        <v>52</v>
      </c>
      <c r="U482" s="19" t="s">
        <v>53</v>
      </c>
      <c r="V482" s="19" t="s">
        <v>71</v>
      </c>
      <c r="W482" s="19" t="s">
        <v>116</v>
      </c>
      <c r="X482" s="19" t="s">
        <v>90</v>
      </c>
      <c r="Y482" s="19"/>
      <c r="Z482" s="19" t="s">
        <v>2165</v>
      </c>
      <c r="AA482" s="19">
        <v>2</v>
      </c>
      <c r="AB482" s="19"/>
      <c r="AC482" s="19" t="s">
        <v>103</v>
      </c>
      <c r="AD482" s="19"/>
      <c r="AE482" s="19"/>
      <c r="AF482" s="19"/>
    </row>
    <row r="483" spans="1:34">
      <c r="A483" s="19">
        <v>475</v>
      </c>
      <c r="B483" s="19" t="s">
        <v>724</v>
      </c>
      <c r="C483" s="19" t="s">
        <v>578</v>
      </c>
      <c r="D483" s="19" t="str">
        <f>HYPERLINK("http://henontech.com/fieldsafety/harzard/harzard_show.php?rid=4236&amp;url=harzardrecs.php","西一地沟2#给料机箱板磨损严重，开机运行漏煤积煤多，一旦巡检不到位造成偏带、胶带撕裂。")</f>
        <v>西一地沟2#给料机箱板磨损严重，开机运行漏煤积煤多，一旦巡检不到位造成偏带、胶带撕裂。</v>
      </c>
      <c r="E483" s="19" t="s">
        <v>2140</v>
      </c>
      <c r="F483" s="20" t="s">
        <v>42</v>
      </c>
      <c r="G483" s="22" t="s">
        <v>64</v>
      </c>
      <c r="H483" s="19" t="s">
        <v>44</v>
      </c>
      <c r="I483" s="19" t="s">
        <v>333</v>
      </c>
      <c r="J483" s="19" t="s">
        <v>45</v>
      </c>
      <c r="K483" s="19"/>
      <c r="L483" s="19"/>
      <c r="M483" s="19" t="s">
        <v>565</v>
      </c>
      <c r="N483" s="19" t="s">
        <v>2166</v>
      </c>
      <c r="O483" s="19" t="s">
        <v>565</v>
      </c>
      <c r="P483" s="19" t="s">
        <v>566</v>
      </c>
      <c r="Q483" s="19" t="s">
        <v>926</v>
      </c>
      <c r="R483" s="19" t="s">
        <v>2042</v>
      </c>
      <c r="S483" s="19"/>
      <c r="T483" s="19" t="s">
        <v>78</v>
      </c>
      <c r="U483" s="19" t="s">
        <v>70</v>
      </c>
      <c r="V483" s="19" t="s">
        <v>71</v>
      </c>
      <c r="W483" s="19" t="s">
        <v>72</v>
      </c>
      <c r="X483" s="19"/>
      <c r="Y483" s="19"/>
      <c r="Z483" s="19" t="s">
        <v>2167</v>
      </c>
      <c r="AA483" s="19">
        <v>1</v>
      </c>
      <c r="AB483" s="19">
        <v>1</v>
      </c>
      <c r="AC483" s="19" t="s">
        <v>58</v>
      </c>
      <c r="AD483" s="19" t="s">
        <v>566</v>
      </c>
      <c r="AE483" s="19" t="s">
        <v>724</v>
      </c>
      <c r="AF483" s="19"/>
    </row>
    <row r="484" spans="1:34">
      <c r="A484" s="19">
        <v>476</v>
      </c>
      <c r="B484" s="19" t="s">
        <v>724</v>
      </c>
      <c r="C484" s="19" t="s">
        <v>1374</v>
      </c>
      <c r="D484" s="19" t="str">
        <f>HYPERLINK("http://henontech.com/fieldsafety/harzard/harzard_show.php?rid=4237&amp;url=harzardrecs.php","送煤车大链条与托煤板连接夹子有裂。纹，维修人员在检修作业拆卸中发现，并及时对其进行更换")</f>
        <v>送煤车大链条与托煤板连接夹子有裂。纹，维修人员在检修作业拆卸中发现，并及时对其进行更换</v>
      </c>
      <c r="E484" s="19" t="s">
        <v>2168</v>
      </c>
      <c r="F484" s="25" t="s">
        <v>828</v>
      </c>
      <c r="G484" s="22" t="s">
        <v>64</v>
      </c>
      <c r="H484" s="19" t="s">
        <v>44</v>
      </c>
      <c r="I484" s="19" t="s">
        <v>97</v>
      </c>
      <c r="J484" s="19" t="s">
        <v>45</v>
      </c>
      <c r="K484" s="19" t="s">
        <v>98</v>
      </c>
      <c r="L484" s="19" t="s">
        <v>99</v>
      </c>
      <c r="M484" s="19" t="s">
        <v>46</v>
      </c>
      <c r="N484" s="19" t="s">
        <v>2169</v>
      </c>
      <c r="O484" s="19" t="s">
        <v>46</v>
      </c>
      <c r="P484" s="19" t="s">
        <v>219</v>
      </c>
      <c r="Q484" s="19" t="s">
        <v>830</v>
      </c>
      <c r="R484" s="19" t="s">
        <v>2170</v>
      </c>
      <c r="S484" s="19"/>
      <c r="T484" s="19" t="s">
        <v>78</v>
      </c>
      <c r="U484" s="19" t="s">
        <v>89</v>
      </c>
      <c r="V484" s="19" t="s">
        <v>71</v>
      </c>
      <c r="W484" s="19" t="s">
        <v>55</v>
      </c>
      <c r="X484" s="19" t="s">
        <v>56</v>
      </c>
      <c r="Y484" s="19"/>
      <c r="Z484" s="19" t="s">
        <v>2171</v>
      </c>
      <c r="AA484" s="19">
        <v>2</v>
      </c>
      <c r="AB484" s="19"/>
      <c r="AC484" s="19" t="s">
        <v>103</v>
      </c>
      <c r="AD484" s="19"/>
      <c r="AE484" s="19"/>
      <c r="AF484" s="19"/>
    </row>
    <row r="485" spans="1:34">
      <c r="A485" s="19"/>
      <c r="B485" s="19"/>
      <c r="C485" s="19"/>
      <c r="D485" s="19" t="str">
        <f>HYPERLINK("http://henontech.com/fieldsafety/harzard/harzard_show.php?rid=4237&amp;url=harzardrecs.php","送煤车大链条与托煤板连接夹板有裂纹，维修作业人员在进行检修作业拆卸夹板时发现，并及时进行更换。")</f>
        <v>送煤车大链条与托煤板连接夹板有裂纹，维修作业人员在进行检修作业拆卸夹板时发现，并及时进行更换。</v>
      </c>
      <c r="E485" s="19" t="s">
        <v>2172</v>
      </c>
      <c r="F485" s="19"/>
      <c r="G485" s="19"/>
      <c r="H485" s="19"/>
      <c r="I485" s="19" t="s">
        <v>97</v>
      </c>
      <c r="J485" s="19" t="s">
        <v>45</v>
      </c>
      <c r="K485" s="19" t="s">
        <v>98</v>
      </c>
      <c r="L485" s="19" t="s">
        <v>99</v>
      </c>
      <c r="M485" s="19"/>
      <c r="N485" s="19"/>
      <c r="O485" s="19"/>
      <c r="P485" s="19"/>
      <c r="Q485" s="19"/>
      <c r="R485" s="19"/>
      <c r="S485" s="19"/>
      <c r="T485" s="19" t="s">
        <v>78</v>
      </c>
      <c r="U485" s="19" t="s">
        <v>89</v>
      </c>
      <c r="V485" s="19" t="s">
        <v>71</v>
      </c>
      <c r="W485" s="19" t="s">
        <v>55</v>
      </c>
      <c r="X485" s="19"/>
      <c r="Y485" s="19"/>
      <c r="Z485" s="19"/>
      <c r="AA485" s="19"/>
      <c r="AB485" s="19"/>
      <c r="AC485" s="19"/>
      <c r="AD485" s="19"/>
      <c r="AE485" s="19"/>
      <c r="AF485" s="19"/>
    </row>
    <row r="486" spans="1:34">
      <c r="A486" s="19">
        <v>477</v>
      </c>
      <c r="B486" s="19" t="s">
        <v>724</v>
      </c>
      <c r="C486" s="19" t="s">
        <v>578</v>
      </c>
      <c r="D486" s="19" t="str">
        <f>HYPERLINK("http://henontech.com/fieldsafety/harzard/harzard_show.php?rid=4238&amp;url=harzardrecs.php","备煤进煤地磅高出地面近一米，过磅人员跳跃下地磅，不小心摔倒感觉右腿疼痛，送医院检查诊断右脚踝关节轻微扭伤，回家休养5天。")</f>
        <v>备煤进煤地磅高出地面近一米，过磅人员跳跃下地磅，不小心摔倒感觉右腿疼痛，送医院检查诊断右脚踝关节轻微扭伤，回家休养5天。</v>
      </c>
      <c r="E486" s="19" t="s">
        <v>2173</v>
      </c>
      <c r="F486" s="20" t="s">
        <v>42</v>
      </c>
      <c r="G486" s="22" t="s">
        <v>64</v>
      </c>
      <c r="H486" s="19" t="s">
        <v>44</v>
      </c>
      <c r="I486" s="19"/>
      <c r="J486" s="19"/>
      <c r="K486" s="19"/>
      <c r="L486" s="19" t="s">
        <v>99</v>
      </c>
      <c r="M486" s="19" t="s">
        <v>565</v>
      </c>
      <c r="N486" s="19" t="s">
        <v>1962</v>
      </c>
      <c r="O486" s="19" t="s">
        <v>565</v>
      </c>
      <c r="P486" s="19" t="s">
        <v>566</v>
      </c>
      <c r="Q486" s="19" t="s">
        <v>926</v>
      </c>
      <c r="R486" s="19" t="s">
        <v>565</v>
      </c>
      <c r="S486" s="19"/>
      <c r="T486" s="19" t="s">
        <v>52</v>
      </c>
      <c r="U486" s="19" t="s">
        <v>89</v>
      </c>
      <c r="V486" s="19" t="s">
        <v>71</v>
      </c>
      <c r="W486" s="19" t="s">
        <v>55</v>
      </c>
      <c r="X486" s="19"/>
      <c r="Y486" s="19"/>
      <c r="Z486" s="19" t="s">
        <v>2174</v>
      </c>
      <c r="AA486" s="19">
        <v>1</v>
      </c>
      <c r="AB486" s="19">
        <v>1</v>
      </c>
      <c r="AC486" s="19" t="s">
        <v>58</v>
      </c>
      <c r="AD486" s="19" t="s">
        <v>566</v>
      </c>
      <c r="AE486" s="19" t="s">
        <v>724</v>
      </c>
      <c r="AF486" s="19"/>
    </row>
    <row r="487" spans="1:34">
      <c r="A487" s="19">
        <v>478</v>
      </c>
      <c r="B487" s="19" t="s">
        <v>724</v>
      </c>
      <c r="C487" s="19" t="s">
        <v>578</v>
      </c>
      <c r="D487" s="19" t="str">
        <f>HYPERLINK("http://henontech.com/fieldsafety/harzard/harzard_show.php?rid=4239&amp;url=harzardrecs.php","水沟盖板破损未及时更换，夜班人员巡检一旦踏入会造成人员伤害。")</f>
        <v>水沟盖板破损未及时更换，夜班人员巡检一旦踏入会造成人员伤害。</v>
      </c>
      <c r="E487" s="19" t="s">
        <v>2175</v>
      </c>
      <c r="F487" s="20" t="s">
        <v>42</v>
      </c>
      <c r="G487" s="22" t="s">
        <v>64</v>
      </c>
      <c r="H487" s="19" t="s">
        <v>44</v>
      </c>
      <c r="I487" s="19" t="s">
        <v>119</v>
      </c>
      <c r="J487" s="19" t="s">
        <v>45</v>
      </c>
      <c r="K487" s="19"/>
      <c r="L487" s="19"/>
      <c r="M487" s="19" t="s">
        <v>565</v>
      </c>
      <c r="N487" s="19" t="s">
        <v>2176</v>
      </c>
      <c r="O487" s="19" t="s">
        <v>565</v>
      </c>
      <c r="P487" s="19" t="s">
        <v>566</v>
      </c>
      <c r="Q487" s="19" t="s">
        <v>926</v>
      </c>
      <c r="R487" s="19" t="s">
        <v>2177</v>
      </c>
      <c r="S487" s="19"/>
      <c r="T487" s="19" t="s">
        <v>52</v>
      </c>
      <c r="U487" s="19" t="s">
        <v>70</v>
      </c>
      <c r="V487" s="19" t="s">
        <v>71</v>
      </c>
      <c r="W487" s="19" t="s">
        <v>72</v>
      </c>
      <c r="X487" s="19"/>
      <c r="Y487" s="19"/>
      <c r="Z487" s="19" t="s">
        <v>2178</v>
      </c>
      <c r="AA487" s="19">
        <v>1</v>
      </c>
      <c r="AB487" s="19">
        <v>1</v>
      </c>
      <c r="AC487" s="19" t="s">
        <v>58</v>
      </c>
      <c r="AD487" s="19" t="s">
        <v>566</v>
      </c>
      <c r="AE487" s="19" t="s">
        <v>724</v>
      </c>
      <c r="AF487" s="19"/>
    </row>
    <row r="488" spans="1:34">
      <c r="A488" s="19">
        <v>479</v>
      </c>
      <c r="B488" s="19" t="s">
        <v>724</v>
      </c>
      <c r="C488" s="19" t="s">
        <v>2179</v>
      </c>
      <c r="D488" s="19" t="str">
        <f>HYPERLINK("http://henontech.com/fieldsafety/harzard/harzard_show.php?rid=4240&amp;url=harzardrecs.php","两盐配电室打料泵接触器底电线中相发热，当长期发热电线烧断，会造成11kw电机缺相烧毁，损失2000元。。")</f>
        <v>两盐配电室打料泵接触器底电线中相发热，当长期发热电线烧断，会造成11kw电机缺相烧毁，损失2000元。。</v>
      </c>
      <c r="E488" s="19" t="s">
        <v>2180</v>
      </c>
      <c r="F488" s="20" t="s">
        <v>42</v>
      </c>
      <c r="G488" s="22" t="s">
        <v>64</v>
      </c>
      <c r="H488" s="19" t="s">
        <v>44</v>
      </c>
      <c r="I488" s="19" t="s">
        <v>119</v>
      </c>
      <c r="J488" s="19" t="s">
        <v>45</v>
      </c>
      <c r="K488" s="19" t="s">
        <v>170</v>
      </c>
      <c r="L488" s="19" t="s">
        <v>99</v>
      </c>
      <c r="M488" s="19" t="s">
        <v>334</v>
      </c>
      <c r="N488" s="19" t="s">
        <v>511</v>
      </c>
      <c r="O488" s="19" t="s">
        <v>334</v>
      </c>
      <c r="P488" s="19" t="s">
        <v>346</v>
      </c>
      <c r="Q488" s="19" t="s">
        <v>926</v>
      </c>
      <c r="R488" s="19" t="s">
        <v>2181</v>
      </c>
      <c r="S488" s="19"/>
      <c r="T488" s="19" t="s">
        <v>78</v>
      </c>
      <c r="U488" s="19" t="s">
        <v>79</v>
      </c>
      <c r="V488" s="19" t="s">
        <v>71</v>
      </c>
      <c r="W488" s="19" t="s">
        <v>81</v>
      </c>
      <c r="X488" s="19"/>
      <c r="Y488" s="19"/>
      <c r="Z488" s="19" t="s">
        <v>2182</v>
      </c>
      <c r="AA488" s="19">
        <v>1</v>
      </c>
      <c r="AB488" s="19">
        <v>1</v>
      </c>
      <c r="AC488" s="19" t="s">
        <v>58</v>
      </c>
      <c r="AD488" s="19" t="s">
        <v>346</v>
      </c>
      <c r="AE488" s="19" t="s">
        <v>888</v>
      </c>
      <c r="AF488" s="19"/>
    </row>
    <row r="489" spans="1:34" customHeight="1" ht="42">
      <c r="A489" s="19">
        <v>480</v>
      </c>
      <c r="B489" s="19" t="s">
        <v>724</v>
      </c>
      <c r="C489" s="19" t="s">
        <v>2183</v>
      </c>
      <c r="D489" s="19" t="str">
        <f>HYPERLINK("http://henontech.com/fieldsafety/harzard/harzard_show.php?rid=4241&amp;url=harzardrecs.php","炉顶导烟车操作室由于高温导致玻璃有裂缝，假如一名操作人员从旁边穿越玻璃破裂，造成人员手臂划伤，送医治疗休养1个月康复")</f>
        <v>炉顶导烟车操作室由于高温导致玻璃有裂缝，假如一名操作人员从旁边穿越玻璃破裂，造成人员手臂划伤，送医治疗休养1个月康复</v>
      </c>
      <c r="E489" s="19" t="s">
        <v>2184</v>
      </c>
      <c r="F489" s="25" t="s">
        <v>828</v>
      </c>
      <c r="G489" s="22" t="s">
        <v>64</v>
      </c>
      <c r="H489" s="19" t="s">
        <v>44</v>
      </c>
      <c r="I489" s="19" t="s">
        <v>97</v>
      </c>
      <c r="J489" s="19" t="s">
        <v>45</v>
      </c>
      <c r="K489" s="19" t="s">
        <v>98</v>
      </c>
      <c r="L489" s="19" t="s">
        <v>99</v>
      </c>
      <c r="M489" s="19" t="s">
        <v>46</v>
      </c>
      <c r="N489" s="19" t="s">
        <v>2185</v>
      </c>
      <c r="O489" s="19" t="s">
        <v>46</v>
      </c>
      <c r="P489" s="19" t="s">
        <v>219</v>
      </c>
      <c r="Q489" s="19" t="s">
        <v>830</v>
      </c>
      <c r="R489" s="19" t="s">
        <v>2186</v>
      </c>
      <c r="S489" s="19"/>
      <c r="T489" s="19" t="s">
        <v>52</v>
      </c>
      <c r="U489" s="19" t="s">
        <v>89</v>
      </c>
      <c r="V489" s="19" t="s">
        <v>71</v>
      </c>
      <c r="W489" s="19" t="s">
        <v>55</v>
      </c>
      <c r="X489" s="19" t="s">
        <v>90</v>
      </c>
      <c r="Y489" s="19"/>
      <c r="Z489" s="19" t="s">
        <v>2187</v>
      </c>
      <c r="AA489" s="19">
        <v>2</v>
      </c>
      <c r="AB489" s="19"/>
      <c r="AC489" s="19" t="s">
        <v>103</v>
      </c>
      <c r="AD489" s="19"/>
      <c r="AE489" s="19"/>
      <c r="AF489" s="19"/>
    </row>
    <row r="490" spans="1:34" customHeight="1" ht="42">
      <c r="A490" s="19">
        <v>481</v>
      </c>
      <c r="B490" s="19" t="s">
        <v>724</v>
      </c>
      <c r="C490" s="19" t="s">
        <v>1378</v>
      </c>
      <c r="D490" s="19" t="str">
        <f>HYPERLINK("http://henontech.com/fieldsafety/harzard/harzard_show.php?rid=4244&amp;url=harzardrecs.php","5.5米推焦车推焦杆电机平台爬梯板变形严重，假设一名操作人员在巡检时踏空滑倒。造成一名操作人员脚部骨折，住院治疗15天。")</f>
        <v>5.5米推焦车推焦杆电机平台爬梯板变形严重，假设一名操作人员在巡检时踏空滑倒。造成一名操作人员脚部骨折，住院治疗15天。</v>
      </c>
      <c r="E490" s="19" t="s">
        <v>2188</v>
      </c>
      <c r="F490" s="25" t="s">
        <v>828</v>
      </c>
      <c r="G490" s="22" t="s">
        <v>64</v>
      </c>
      <c r="H490" s="19" t="s">
        <v>44</v>
      </c>
      <c r="I490" s="19" t="s">
        <v>97</v>
      </c>
      <c r="J490" s="19" t="s">
        <v>45</v>
      </c>
      <c r="K490" s="19" t="s">
        <v>216</v>
      </c>
      <c r="L490" s="19" t="s">
        <v>99</v>
      </c>
      <c r="M490" s="19" t="s">
        <v>46</v>
      </c>
      <c r="N490" s="19" t="s">
        <v>2189</v>
      </c>
      <c r="O490" s="19" t="s">
        <v>46</v>
      </c>
      <c r="P490" s="19" t="s">
        <v>219</v>
      </c>
      <c r="Q490" s="19" t="s">
        <v>830</v>
      </c>
      <c r="R490" s="19" t="s">
        <v>1090</v>
      </c>
      <c r="S490" s="19"/>
      <c r="T490" s="19" t="s">
        <v>52</v>
      </c>
      <c r="U490" s="19" t="s">
        <v>89</v>
      </c>
      <c r="V490" s="19" t="s">
        <v>80</v>
      </c>
      <c r="W490" s="19" t="s">
        <v>116</v>
      </c>
      <c r="X490" s="19" t="s">
        <v>90</v>
      </c>
      <c r="Y490" s="19"/>
      <c r="Z490" s="19" t="s">
        <v>2190</v>
      </c>
      <c r="AA490" s="19">
        <v>2</v>
      </c>
      <c r="AB490" s="19"/>
      <c r="AC490" s="19" t="s">
        <v>103</v>
      </c>
      <c r="AD490" s="19"/>
      <c r="AE490" s="19"/>
      <c r="AF490" s="19"/>
    </row>
    <row r="491" spans="1:34">
      <c r="A491" s="19">
        <v>482</v>
      </c>
      <c r="B491" s="19" t="s">
        <v>724</v>
      </c>
      <c r="C491" s="19" t="s">
        <v>2114</v>
      </c>
      <c r="D491" s="19" t="str">
        <f>HYPERLINK("http://henontech.com/fieldsafety/harzard/harzard_show.php?rid=4245&amp;url=harzardrecs.php","皮带立辊损坏，开机时巡检不到位易造成皮带划伤,撕裂！")</f>
        <v>皮带立辊损坏，开机时巡检不到位易造成皮带划伤,撕裂！</v>
      </c>
      <c r="E491" s="19" t="s">
        <v>2191</v>
      </c>
      <c r="F491" s="20" t="s">
        <v>42</v>
      </c>
      <c r="G491" s="22" t="s">
        <v>64</v>
      </c>
      <c r="H491" s="19" t="s">
        <v>44</v>
      </c>
      <c r="I491" s="19" t="s">
        <v>97</v>
      </c>
      <c r="J491" s="19" t="s">
        <v>45</v>
      </c>
      <c r="K491" s="19" t="s">
        <v>98</v>
      </c>
      <c r="L491" s="19" t="s">
        <v>99</v>
      </c>
      <c r="M491" s="19" t="s">
        <v>565</v>
      </c>
      <c r="N491" s="19" t="s">
        <v>2192</v>
      </c>
      <c r="O491" s="19" t="s">
        <v>565</v>
      </c>
      <c r="P491" s="19" t="s">
        <v>566</v>
      </c>
      <c r="Q491" s="19" t="s">
        <v>926</v>
      </c>
      <c r="R491" s="19" t="s">
        <v>1902</v>
      </c>
      <c r="S491" s="19"/>
      <c r="T491" s="19" t="s">
        <v>78</v>
      </c>
      <c r="U491" s="19" t="s">
        <v>70</v>
      </c>
      <c r="V491" s="19" t="s">
        <v>54</v>
      </c>
      <c r="W491" s="19" t="s">
        <v>81</v>
      </c>
      <c r="X491" s="19"/>
      <c r="Y491" s="19"/>
      <c r="Z491" s="19" t="s">
        <v>2193</v>
      </c>
      <c r="AA491" s="19">
        <v>1</v>
      </c>
      <c r="AB491" s="19">
        <v>1</v>
      </c>
      <c r="AC491" s="19" t="s">
        <v>58</v>
      </c>
      <c r="AD491" s="19" t="s">
        <v>566</v>
      </c>
      <c r="AE491" s="19" t="s">
        <v>724</v>
      </c>
      <c r="AF491" s="19"/>
    </row>
    <row r="492" spans="1:34">
      <c r="A492" s="19">
        <v>483</v>
      </c>
      <c r="B492" s="19" t="s">
        <v>724</v>
      </c>
      <c r="C492" s="19" t="s">
        <v>2092</v>
      </c>
      <c r="D492" s="19" t="str">
        <f>HYPERLINK("http://henontech.com/fieldsafety/harzard/harzard_show.php?rid=4246&amp;url=harzardrecs.php","焦油罐区液下泵电机防雨罩腐蚀严重，下雨导致电机进水，使电机烧毁")</f>
        <v>焦油罐区液下泵电机防雨罩腐蚀严重，下雨导致电机进水，使电机烧毁</v>
      </c>
      <c r="E492" s="19" t="s">
        <v>2194</v>
      </c>
      <c r="F492" s="25" t="s">
        <v>828</v>
      </c>
      <c r="G492" s="22" t="s">
        <v>64</v>
      </c>
      <c r="H492" s="19" t="s">
        <v>44</v>
      </c>
      <c r="I492" s="19"/>
      <c r="J492" s="19" t="s">
        <v>182</v>
      </c>
      <c r="K492" s="19" t="s">
        <v>108</v>
      </c>
      <c r="L492" s="19"/>
      <c r="M492" s="19" t="s">
        <v>334</v>
      </c>
      <c r="N492" s="19" t="s">
        <v>503</v>
      </c>
      <c r="O492" s="19" t="s">
        <v>334</v>
      </c>
      <c r="P492" s="19" t="s">
        <v>346</v>
      </c>
      <c r="Q492" s="19" t="s">
        <v>926</v>
      </c>
      <c r="R492" s="19" t="s">
        <v>2195</v>
      </c>
      <c r="S492" s="19"/>
      <c r="T492" s="19" t="s">
        <v>78</v>
      </c>
      <c r="U492" s="19" t="s">
        <v>79</v>
      </c>
      <c r="V492" s="19" t="s">
        <v>54</v>
      </c>
      <c r="W492" s="19" t="s">
        <v>81</v>
      </c>
      <c r="X492" s="19"/>
      <c r="Y492" s="19"/>
      <c r="Z492" s="19" t="s">
        <v>2196</v>
      </c>
      <c r="AA492" s="19">
        <v>1</v>
      </c>
      <c r="AB492" s="19"/>
      <c r="AC492" s="19" t="s">
        <v>103</v>
      </c>
      <c r="AD492" s="19"/>
      <c r="AE492" s="19"/>
      <c r="AF492" s="19"/>
    </row>
    <row r="493" spans="1:34">
      <c r="A493" s="19">
        <v>484</v>
      </c>
      <c r="B493" s="19" t="s">
        <v>724</v>
      </c>
      <c r="C493" s="19" t="s">
        <v>578</v>
      </c>
      <c r="D493" s="19" t="str">
        <f>HYPERLINK("http://henontech.com/fieldsafety/harzard/harzard_show.php?rid=4247&amp;url=harzardrecs.php","西五斜桥包边悬挂，人员经过造成砸伤、划伤，伤害！")</f>
        <v>西五斜桥包边悬挂，人员经过造成砸伤、划伤，伤害！</v>
      </c>
      <c r="E493" s="19" t="s">
        <v>2197</v>
      </c>
      <c r="F493" s="20" t="s">
        <v>42</v>
      </c>
      <c r="G493" s="22" t="s">
        <v>64</v>
      </c>
      <c r="H493" s="19" t="s">
        <v>44</v>
      </c>
      <c r="I493" s="19" t="s">
        <v>97</v>
      </c>
      <c r="J493" s="19" t="s">
        <v>45</v>
      </c>
      <c r="K493" s="19" t="s">
        <v>176</v>
      </c>
      <c r="L493" s="19"/>
      <c r="M493" s="19" t="s">
        <v>565</v>
      </c>
      <c r="N493" s="19" t="s">
        <v>2198</v>
      </c>
      <c r="O493" s="19" t="s">
        <v>565</v>
      </c>
      <c r="P493" s="19" t="s">
        <v>566</v>
      </c>
      <c r="Q493" s="19" t="s">
        <v>926</v>
      </c>
      <c r="R493" s="19" t="s">
        <v>2199</v>
      </c>
      <c r="S493" s="19"/>
      <c r="T493" s="19" t="s">
        <v>52</v>
      </c>
      <c r="U493" s="19" t="s">
        <v>70</v>
      </c>
      <c r="V493" s="19" t="s">
        <v>71</v>
      </c>
      <c r="W493" s="19" t="s">
        <v>72</v>
      </c>
      <c r="X493" s="19"/>
      <c r="Y493" s="19"/>
      <c r="Z493" s="19" t="s">
        <v>2200</v>
      </c>
      <c r="AA493" s="19">
        <v>1</v>
      </c>
      <c r="AB493" s="19">
        <v>1</v>
      </c>
      <c r="AC493" s="19" t="s">
        <v>58</v>
      </c>
      <c r="AD493" s="19" t="s">
        <v>566</v>
      </c>
      <c r="AE493" s="19" t="s">
        <v>724</v>
      </c>
      <c r="AF493" s="19"/>
    </row>
    <row r="494" spans="1:34">
      <c r="A494" s="19">
        <v>485</v>
      </c>
      <c r="B494" s="19" t="s">
        <v>724</v>
      </c>
      <c r="C494" s="19" t="s">
        <v>578</v>
      </c>
      <c r="D494" s="19" t="str">
        <f>HYPERLINK("http://henontech.com/fieldsafety/harzard/harzard_show.php?rid=4248&amp;url=harzardrecs.php","西三后尾转运站护栏门未关闭，人员经过易造成人员摔伤！")</f>
        <v>西三后尾转运站护栏门未关闭，人员经过易造成人员摔伤！</v>
      </c>
      <c r="E494" s="19" t="s">
        <v>2201</v>
      </c>
      <c r="F494" s="20" t="s">
        <v>42</v>
      </c>
      <c r="G494" s="22" t="s">
        <v>64</v>
      </c>
      <c r="H494" s="19" t="s">
        <v>44</v>
      </c>
      <c r="I494" s="19" t="s">
        <v>106</v>
      </c>
      <c r="J494" s="19" t="s">
        <v>182</v>
      </c>
      <c r="K494" s="19" t="s">
        <v>98</v>
      </c>
      <c r="L494" s="19" t="s">
        <v>99</v>
      </c>
      <c r="M494" s="19" t="s">
        <v>565</v>
      </c>
      <c r="N494" s="19" t="s">
        <v>566</v>
      </c>
      <c r="O494" s="19" t="s">
        <v>565</v>
      </c>
      <c r="P494" s="19" t="s">
        <v>566</v>
      </c>
      <c r="Q494" s="19" t="s">
        <v>926</v>
      </c>
      <c r="R494" s="19" t="s">
        <v>1018</v>
      </c>
      <c r="S494" s="19"/>
      <c r="T494" s="19" t="s">
        <v>52</v>
      </c>
      <c r="U494" s="19" t="s">
        <v>70</v>
      </c>
      <c r="V494" s="19" t="s">
        <v>71</v>
      </c>
      <c r="W494" s="19" t="s">
        <v>72</v>
      </c>
      <c r="X494" s="19"/>
      <c r="Y494" s="19"/>
      <c r="Z494" s="19" t="s">
        <v>2202</v>
      </c>
      <c r="AA494" s="19">
        <v>1</v>
      </c>
      <c r="AB494" s="19">
        <v>1</v>
      </c>
      <c r="AC494" s="19" t="s">
        <v>58</v>
      </c>
      <c r="AD494" s="19" t="s">
        <v>566</v>
      </c>
      <c r="AE494" s="19" t="s">
        <v>724</v>
      </c>
      <c r="AF494" s="19"/>
    </row>
    <row r="495" spans="1:34">
      <c r="A495" s="19">
        <v>486</v>
      </c>
      <c r="B495" s="19" t="s">
        <v>724</v>
      </c>
      <c r="C495" s="19" t="s">
        <v>586</v>
      </c>
      <c r="D495" s="19" t="str">
        <f>HYPERLINK("http://henontech.com/fieldsafety/harzard/harzard_show.php?rid=4249&amp;url=harzardrecs.php","一名员工在去往平台，对加湿罐进行液位观察时，不慎从损坏的护栏处跌落三米地面，造成臀部受伤，送医确诊为尾椎骨骨折，住院治疗20天，回家休养100天后复工。")</f>
        <v>一名员工在去往平台，对加湿罐进行液位观察时，不慎从损坏的护栏处跌落三米地面，造成臀部受伤，送医确诊为尾椎骨骨折，住院治疗20天，回家休养100天后复工。</v>
      </c>
      <c r="E495" s="19" t="s">
        <v>2203</v>
      </c>
      <c r="F495" s="20" t="s">
        <v>42</v>
      </c>
      <c r="G495" s="24" t="s">
        <v>251</v>
      </c>
      <c r="H495" s="19" t="s">
        <v>44</v>
      </c>
      <c r="I495" s="19" t="s">
        <v>97</v>
      </c>
      <c r="J495" s="19" t="s">
        <v>182</v>
      </c>
      <c r="K495" s="19" t="s">
        <v>108</v>
      </c>
      <c r="L495" s="19" t="s">
        <v>99</v>
      </c>
      <c r="M495" s="19" t="s">
        <v>565</v>
      </c>
      <c r="N495" s="19" t="s">
        <v>2204</v>
      </c>
      <c r="O495" s="19" t="s">
        <v>565</v>
      </c>
      <c r="P495" s="19" t="s">
        <v>627</v>
      </c>
      <c r="Q495" s="19" t="s">
        <v>732</v>
      </c>
      <c r="R495" s="19" t="s">
        <v>1232</v>
      </c>
      <c r="S495" s="19"/>
      <c r="T495" s="19" t="s">
        <v>52</v>
      </c>
      <c r="U495" s="19" t="s">
        <v>89</v>
      </c>
      <c r="V495" s="19" t="s">
        <v>71</v>
      </c>
      <c r="W495" s="19" t="s">
        <v>55</v>
      </c>
      <c r="X495" s="19"/>
      <c r="Y495" s="19"/>
      <c r="Z495" s="19" t="s">
        <v>2205</v>
      </c>
      <c r="AA495" s="19">
        <v>1</v>
      </c>
      <c r="AB495" s="19">
        <v>1</v>
      </c>
      <c r="AC495" s="19" t="s">
        <v>58</v>
      </c>
      <c r="AD495" s="19" t="s">
        <v>627</v>
      </c>
      <c r="AE495" s="19" t="s">
        <v>724</v>
      </c>
      <c r="AF495" s="19"/>
    </row>
    <row r="496" spans="1:34">
      <c r="A496" s="19">
        <v>487</v>
      </c>
      <c r="B496" s="19" t="s">
        <v>724</v>
      </c>
      <c r="C496" s="19" t="s">
        <v>586</v>
      </c>
      <c r="D496" s="19" t="str">
        <f>HYPERLINK("http://henontech.com/fieldsafety/harzard/harzard_show.php?rid=4250&amp;url=harzardrecs.php","下料筒操作平台工具未按规定摆放，操作工下方行走时砸伤")</f>
        <v>下料筒操作平台工具未按规定摆放，操作工下方行走时砸伤</v>
      </c>
      <c r="E496" s="19" t="s">
        <v>52</v>
      </c>
      <c r="F496" s="20" t="s">
        <v>42</v>
      </c>
      <c r="G496" s="22" t="s">
        <v>64</v>
      </c>
      <c r="H496" s="19" t="s">
        <v>44</v>
      </c>
      <c r="I496" s="19" t="s">
        <v>106</v>
      </c>
      <c r="J496" s="19" t="s">
        <v>45</v>
      </c>
      <c r="K496" s="19" t="s">
        <v>98</v>
      </c>
      <c r="L496" s="19" t="s">
        <v>99</v>
      </c>
      <c r="M496" s="19" t="s">
        <v>565</v>
      </c>
      <c r="N496" s="19" t="s">
        <v>2206</v>
      </c>
      <c r="O496" s="19" t="s">
        <v>565</v>
      </c>
      <c r="P496" s="19" t="s">
        <v>566</v>
      </c>
      <c r="Q496" s="19" t="s">
        <v>926</v>
      </c>
      <c r="R496" s="19" t="s">
        <v>650</v>
      </c>
      <c r="S496" s="19"/>
      <c r="T496" s="19" t="s">
        <v>52</v>
      </c>
      <c r="U496" s="19" t="s">
        <v>70</v>
      </c>
      <c r="V496" s="19" t="s">
        <v>71</v>
      </c>
      <c r="W496" s="19" t="s">
        <v>72</v>
      </c>
      <c r="X496" s="19"/>
      <c r="Y496" s="19"/>
      <c r="Z496" s="19" t="s">
        <v>2207</v>
      </c>
      <c r="AA496" s="19">
        <v>1</v>
      </c>
      <c r="AB496" s="19">
        <v>1</v>
      </c>
      <c r="AC496" s="19" t="s">
        <v>58</v>
      </c>
      <c r="AD496" s="19" t="s">
        <v>566</v>
      </c>
      <c r="AE496" s="19" t="s">
        <v>724</v>
      </c>
      <c r="AF496" s="19"/>
    </row>
    <row r="497" spans="1:34">
      <c r="A497" s="19">
        <v>488</v>
      </c>
      <c r="B497" s="19" t="s">
        <v>724</v>
      </c>
      <c r="C497" s="19" t="s">
        <v>578</v>
      </c>
      <c r="D497" s="19" t="str">
        <f>HYPERLINK("http://henontech.com/fieldsafety/harzard/harzard_show.php?rid=4251&amp;url=harzardrecs.php","西一胶带机有一长脱辊破裂，随时造成胶带划伤，迫使停机检修影响生产。")</f>
        <v>西一胶带机有一长脱辊破裂，随时造成胶带划伤，迫使停机检修影响生产。</v>
      </c>
      <c r="E497" s="19" t="s">
        <v>2140</v>
      </c>
      <c r="F497" s="20" t="s">
        <v>42</v>
      </c>
      <c r="G497" s="21" t="s">
        <v>43</v>
      </c>
      <c r="H497" s="19" t="s">
        <v>44</v>
      </c>
      <c r="I497" s="19" t="s">
        <v>97</v>
      </c>
      <c r="J497" s="19" t="s">
        <v>45</v>
      </c>
      <c r="K497" s="19" t="s">
        <v>98</v>
      </c>
      <c r="L497" s="19" t="s">
        <v>99</v>
      </c>
      <c r="M497" s="19" t="s">
        <v>565</v>
      </c>
      <c r="N497" s="19" t="s">
        <v>2208</v>
      </c>
      <c r="O497" s="19" t="s">
        <v>565</v>
      </c>
      <c r="P497" s="19" t="s">
        <v>627</v>
      </c>
      <c r="Q497" s="19" t="s">
        <v>732</v>
      </c>
      <c r="R497" s="19" t="s">
        <v>2042</v>
      </c>
      <c r="S497" s="19"/>
      <c r="T497" s="19" t="s">
        <v>78</v>
      </c>
      <c r="U497" s="19" t="s">
        <v>70</v>
      </c>
      <c r="V497" s="19" t="s">
        <v>71</v>
      </c>
      <c r="W497" s="19" t="s">
        <v>72</v>
      </c>
      <c r="X497" s="19" t="s">
        <v>73</v>
      </c>
      <c r="Y497" s="19" t="s">
        <v>73</v>
      </c>
      <c r="Z497" s="19" t="s">
        <v>2209</v>
      </c>
      <c r="AA497" s="19">
        <v>1</v>
      </c>
      <c r="AB497" s="19">
        <v>1</v>
      </c>
      <c r="AC497" s="19" t="s">
        <v>58</v>
      </c>
      <c r="AD497" s="19" t="s">
        <v>627</v>
      </c>
      <c r="AE497" s="19" t="s">
        <v>724</v>
      </c>
      <c r="AF497" s="19"/>
    </row>
    <row r="498" spans="1:34">
      <c r="A498" s="19">
        <v>489</v>
      </c>
      <c r="B498" s="19" t="s">
        <v>724</v>
      </c>
      <c r="C498" s="19" t="s">
        <v>578</v>
      </c>
      <c r="D498" s="19" t="str">
        <f>HYPERLINK("http://henontech.com/fieldsafety/harzard/harzard_show.php?rid=4252&amp;url=harzardrecs.php","2#给料机偏心盘螺栓松动后脱出，造成停机检修影响生产。")</f>
        <v>2#给料机偏心盘螺栓松动后脱出，造成停机检修影响生产。</v>
      </c>
      <c r="E498" s="19" t="s">
        <v>2140</v>
      </c>
      <c r="F498" s="20" t="s">
        <v>42</v>
      </c>
      <c r="G498" s="21" t="s">
        <v>43</v>
      </c>
      <c r="H498" s="19" t="s">
        <v>44</v>
      </c>
      <c r="I498" s="19" t="s">
        <v>97</v>
      </c>
      <c r="J498" s="19" t="s">
        <v>45</v>
      </c>
      <c r="K498" s="19" t="s">
        <v>98</v>
      </c>
      <c r="L498" s="19" t="s">
        <v>99</v>
      </c>
      <c r="M498" s="19" t="s">
        <v>565</v>
      </c>
      <c r="N498" s="19" t="s">
        <v>2210</v>
      </c>
      <c r="O498" s="19" t="s">
        <v>565</v>
      </c>
      <c r="P498" s="19" t="s">
        <v>109</v>
      </c>
      <c r="Q498" s="19" t="s">
        <v>732</v>
      </c>
      <c r="R498" s="19" t="s">
        <v>2042</v>
      </c>
      <c r="S498" s="19"/>
      <c r="T498" s="19" t="s">
        <v>78</v>
      </c>
      <c r="U498" s="19" t="s">
        <v>70</v>
      </c>
      <c r="V498" s="19" t="s">
        <v>71</v>
      </c>
      <c r="W498" s="19" t="s">
        <v>72</v>
      </c>
      <c r="X498" s="19" t="s">
        <v>73</v>
      </c>
      <c r="Y498" s="19" t="s">
        <v>73</v>
      </c>
      <c r="Z498" s="19" t="s">
        <v>2211</v>
      </c>
      <c r="AA498" s="19">
        <v>1</v>
      </c>
      <c r="AB498" s="19">
        <v>1</v>
      </c>
      <c r="AC498" s="19" t="s">
        <v>58</v>
      </c>
      <c r="AD498" s="19" t="s">
        <v>109</v>
      </c>
      <c r="AE498" s="19" t="s">
        <v>732</v>
      </c>
      <c r="AF498" s="19"/>
    </row>
    <row r="499" spans="1:34">
      <c r="A499" s="19">
        <v>490</v>
      </c>
      <c r="B499" s="19" t="s">
        <v>732</v>
      </c>
      <c r="C499" s="19" t="s">
        <v>578</v>
      </c>
      <c r="D499" s="19" t="str">
        <f>HYPERLINK("http://henontech.com/fieldsafety/harzard/harzard_show.php?rid=4253&amp;url=harzardrecs.php","一名员工从西五放煤处经过，不慎被上方掉落的钢筋划伤颈部，送医缝合7针，住院治疗3天，回家休养7天后复工。")</f>
        <v>一名员工从西五放煤处经过，不慎被上方掉落的钢筋划伤颈部，送医缝合7针，住院治疗3天，回家休养7天后复工。</v>
      </c>
      <c r="E499" s="19" t="s">
        <v>2212</v>
      </c>
      <c r="F499" s="20" t="s">
        <v>42</v>
      </c>
      <c r="G499" s="21" t="s">
        <v>43</v>
      </c>
      <c r="H499" s="19" t="s">
        <v>44</v>
      </c>
      <c r="I499" s="19" t="s">
        <v>97</v>
      </c>
      <c r="J499" s="19" t="s">
        <v>527</v>
      </c>
      <c r="K499" s="19" t="s">
        <v>98</v>
      </c>
      <c r="L499" s="19" t="s">
        <v>99</v>
      </c>
      <c r="M499" s="19" t="s">
        <v>565</v>
      </c>
      <c r="N499" s="19" t="s">
        <v>944</v>
      </c>
      <c r="O499" s="19" t="s">
        <v>565</v>
      </c>
      <c r="P499" s="19" t="s">
        <v>627</v>
      </c>
      <c r="Q499" s="19" t="s">
        <v>1731</v>
      </c>
      <c r="R499" s="19" t="s">
        <v>628</v>
      </c>
      <c r="S499" s="19"/>
      <c r="T499" s="19" t="s">
        <v>52</v>
      </c>
      <c r="U499" s="19" t="s">
        <v>89</v>
      </c>
      <c r="V499" s="19" t="s">
        <v>71</v>
      </c>
      <c r="W499" s="19" t="s">
        <v>55</v>
      </c>
      <c r="X499" s="19"/>
      <c r="Y499" s="19"/>
      <c r="Z499" s="19" t="s">
        <v>2213</v>
      </c>
      <c r="AA499" s="19">
        <v>1</v>
      </c>
      <c r="AB499" s="19">
        <v>1</v>
      </c>
      <c r="AC499" s="19" t="s">
        <v>58</v>
      </c>
      <c r="AD499" s="19" t="s">
        <v>627</v>
      </c>
      <c r="AE499" s="19" t="s">
        <v>932</v>
      </c>
      <c r="AF499" s="19"/>
    </row>
    <row r="500" spans="1:34">
      <c r="A500" s="19">
        <v>491</v>
      </c>
      <c r="B500" s="19" t="s">
        <v>732</v>
      </c>
      <c r="C500" s="19" t="s">
        <v>563</v>
      </c>
      <c r="D500" s="19" t="str">
        <f>HYPERLINK("http://henontech.com/fieldsafety/harzard/harzard_show.php?rid=4254&amp;url=harzardrecs.php","东三料仓维修后，观察口盖子未及时复位，造成巡检人员掉入20米深仓内死亡。")</f>
        <v>东三料仓维修后，观察口盖子未及时复位，造成巡检人员掉入20米深仓内死亡。</v>
      </c>
      <c r="E500" s="19" t="s">
        <v>735</v>
      </c>
      <c r="F500" s="20" t="s">
        <v>42</v>
      </c>
      <c r="G500" s="24" t="s">
        <v>251</v>
      </c>
      <c r="H500" s="19" t="s">
        <v>44</v>
      </c>
      <c r="I500" s="19" t="s">
        <v>97</v>
      </c>
      <c r="J500" s="19" t="s">
        <v>182</v>
      </c>
      <c r="K500" s="19" t="s">
        <v>170</v>
      </c>
      <c r="L500" s="19" t="s">
        <v>252</v>
      </c>
      <c r="M500" s="19" t="s">
        <v>565</v>
      </c>
      <c r="N500" s="19" t="s">
        <v>2214</v>
      </c>
      <c r="O500" s="19" t="s">
        <v>565</v>
      </c>
      <c r="P500" s="19" t="s">
        <v>627</v>
      </c>
      <c r="Q500" s="19" t="s">
        <v>932</v>
      </c>
      <c r="R500" s="19" t="s">
        <v>2003</v>
      </c>
      <c r="S500" s="19"/>
      <c r="T500" s="19" t="s">
        <v>52</v>
      </c>
      <c r="U500" s="19" t="s">
        <v>53</v>
      </c>
      <c r="V500" s="19" t="s">
        <v>71</v>
      </c>
      <c r="W500" s="19" t="s">
        <v>116</v>
      </c>
      <c r="X500" s="19"/>
      <c r="Y500" s="19"/>
      <c r="Z500" s="19" t="s">
        <v>2215</v>
      </c>
      <c r="AA500" s="19">
        <v>1</v>
      </c>
      <c r="AB500" s="19">
        <v>1</v>
      </c>
      <c r="AC500" s="19" t="s">
        <v>58</v>
      </c>
      <c r="AD500" s="19" t="s">
        <v>627</v>
      </c>
      <c r="AE500" s="19" t="s">
        <v>732</v>
      </c>
      <c r="AF500" s="19"/>
    </row>
    <row r="501" spans="1:34">
      <c r="A501" s="19">
        <v>492</v>
      </c>
      <c r="B501" s="19" t="s">
        <v>732</v>
      </c>
      <c r="C501" s="19" t="s">
        <v>563</v>
      </c>
      <c r="D501" s="19" t="str">
        <f>HYPERLINK("http://henontech.com/fieldsafety/harzard/harzard_show.php?rid=4255&amp;url=harzardrecs.php","检修人员在使用梯子更换灯泡时，因无安全监护人员，造成梯子滑倒检修人员随梯子跌落地面受伤，紧急送往医院经医生检查确诊为右小臂骨折，住院冶疗20天，回家休养3个月后复工")</f>
        <v>检修人员在使用梯子更换灯泡时，因无安全监护人员，造成梯子滑倒检修人员随梯子跌落地面受伤，紧急送往医院经医生检查确诊为右小臂骨折，住院冶疗20天，回家休养3个月后复工</v>
      </c>
      <c r="E501" s="19" t="s">
        <v>2216</v>
      </c>
      <c r="F501" s="20" t="s">
        <v>42</v>
      </c>
      <c r="G501" s="21" t="s">
        <v>43</v>
      </c>
      <c r="H501" s="19" t="s">
        <v>44</v>
      </c>
      <c r="I501" s="19" t="s">
        <v>106</v>
      </c>
      <c r="J501" s="19" t="s">
        <v>182</v>
      </c>
      <c r="K501" s="19" t="s">
        <v>98</v>
      </c>
      <c r="L501" s="19" t="s">
        <v>99</v>
      </c>
      <c r="M501" s="19" t="s">
        <v>565</v>
      </c>
      <c r="N501" s="19" t="s">
        <v>2217</v>
      </c>
      <c r="O501" s="19" t="s">
        <v>565</v>
      </c>
      <c r="P501" s="19" t="s">
        <v>627</v>
      </c>
      <c r="Q501" s="19" t="s">
        <v>932</v>
      </c>
      <c r="R501" s="19" t="s">
        <v>2218</v>
      </c>
      <c r="S501" s="19"/>
      <c r="T501" s="19" t="s">
        <v>52</v>
      </c>
      <c r="U501" s="19" t="s">
        <v>89</v>
      </c>
      <c r="V501" s="19" t="s">
        <v>71</v>
      </c>
      <c r="W501" s="19" t="s">
        <v>55</v>
      </c>
      <c r="X501" s="19"/>
      <c r="Y501" s="19"/>
      <c r="Z501" s="19" t="s">
        <v>2219</v>
      </c>
      <c r="AA501" s="19">
        <v>1</v>
      </c>
      <c r="AB501" s="19">
        <v>1</v>
      </c>
      <c r="AC501" s="19" t="s">
        <v>58</v>
      </c>
      <c r="AD501" s="19" t="s">
        <v>627</v>
      </c>
      <c r="AE501" s="19" t="s">
        <v>732</v>
      </c>
      <c r="AF501" s="19"/>
    </row>
    <row r="502" spans="1:34">
      <c r="A502" s="19">
        <v>493</v>
      </c>
      <c r="B502" s="19" t="s">
        <v>732</v>
      </c>
      <c r="C502" s="19" t="s">
        <v>981</v>
      </c>
      <c r="D502" s="19" t="str">
        <f>HYPERLINK("http://henontech.com/fieldsafety/harzard/harzard_show.php?rid=4256&amp;url=harzardrecs.php","2#站好氧池取样过道因棚盖遮挡，视线不清，夜班操作人员取样过程中被曝气管道绊倒，手掌扶地造成左手腕扭伤，无法正常进行化验操作一周。")</f>
        <v>2#站好氧池取样过道因棚盖遮挡，视线不清，夜班操作人员取样过程中被曝气管道绊倒，手掌扶地造成左手腕扭伤，无法正常进行化验操作一周。</v>
      </c>
      <c r="E502" s="19" t="s">
        <v>2220</v>
      </c>
      <c r="F502" s="20" t="s">
        <v>42</v>
      </c>
      <c r="G502" s="22" t="s">
        <v>64</v>
      </c>
      <c r="H502" s="19" t="s">
        <v>44</v>
      </c>
      <c r="I502" s="19"/>
      <c r="J502" s="19" t="s">
        <v>45</v>
      </c>
      <c r="K502" s="19" t="s">
        <v>108</v>
      </c>
      <c r="L502" s="19"/>
      <c r="M502" s="19" t="s">
        <v>232</v>
      </c>
      <c r="N502" s="19" t="s">
        <v>2221</v>
      </c>
      <c r="O502" s="19" t="s">
        <v>232</v>
      </c>
      <c r="P502" s="19" t="s">
        <v>1281</v>
      </c>
      <c r="Q502" s="19" t="s">
        <v>2222</v>
      </c>
      <c r="R502" s="19" t="s">
        <v>2223</v>
      </c>
      <c r="S502" s="19"/>
      <c r="T502" s="19" t="s">
        <v>52</v>
      </c>
      <c r="U502" s="19" t="s">
        <v>89</v>
      </c>
      <c r="V502" s="19" t="s">
        <v>71</v>
      </c>
      <c r="W502" s="19" t="s">
        <v>55</v>
      </c>
      <c r="X502" s="19" t="s">
        <v>73</v>
      </c>
      <c r="Y502" s="19" t="s">
        <v>73</v>
      </c>
      <c r="Z502" s="19" t="s">
        <v>2224</v>
      </c>
      <c r="AA502" s="19">
        <v>1</v>
      </c>
      <c r="AB502" s="19">
        <v>1</v>
      </c>
      <c r="AC502" s="19" t="s">
        <v>58</v>
      </c>
      <c r="AD502" s="19" t="s">
        <v>1281</v>
      </c>
      <c r="AE502" s="19" t="s">
        <v>2144</v>
      </c>
      <c r="AF502" s="19"/>
    </row>
    <row r="503" spans="1:34">
      <c r="A503" s="19">
        <v>494</v>
      </c>
      <c r="B503" s="19" t="s">
        <v>732</v>
      </c>
      <c r="C503" s="19" t="s">
        <v>1844</v>
      </c>
      <c r="D503" s="19" t="str">
        <f>HYPERLINK("http://henontech.com/fieldsafety/harzard/harzard_show.php?rid=4257&amp;url=harzardrecs.php","吸氨岗位操作工氨水取样时，未戴护目镜，氨水溅入眼中，造成眼睛灼伤，住院治疗五天。")</f>
        <v>吸氨岗位操作工氨水取样时，未戴护目镜，氨水溅入眼中，造成眼睛灼伤，住院治疗五天。</v>
      </c>
      <c r="E503" s="19" t="s">
        <v>2225</v>
      </c>
      <c r="F503" s="20" t="s">
        <v>42</v>
      </c>
      <c r="G503" s="21" t="s">
        <v>43</v>
      </c>
      <c r="H503" s="19" t="s">
        <v>592</v>
      </c>
      <c r="I503" s="19" t="s">
        <v>106</v>
      </c>
      <c r="J503" s="19" t="s">
        <v>182</v>
      </c>
      <c r="K503" s="19"/>
      <c r="L503" s="19"/>
      <c r="M503" s="19" t="s">
        <v>241</v>
      </c>
      <c r="N503" s="19" t="s">
        <v>2226</v>
      </c>
      <c r="O503" s="19" t="s">
        <v>241</v>
      </c>
      <c r="P503" s="19" t="s">
        <v>1793</v>
      </c>
      <c r="Q503" s="19" t="s">
        <v>1780</v>
      </c>
      <c r="R503" s="19" t="s">
        <v>1475</v>
      </c>
      <c r="S503" s="19"/>
      <c r="T503" s="19" t="s">
        <v>52</v>
      </c>
      <c r="U503" s="19" t="s">
        <v>89</v>
      </c>
      <c r="V503" s="19" t="s">
        <v>71</v>
      </c>
      <c r="W503" s="19" t="s">
        <v>55</v>
      </c>
      <c r="X503" s="19" t="s">
        <v>90</v>
      </c>
      <c r="Y503" s="19" t="s">
        <v>90</v>
      </c>
      <c r="Z503" s="19" t="s">
        <v>2227</v>
      </c>
      <c r="AA503" s="19">
        <v>1</v>
      </c>
      <c r="AB503" s="19">
        <v>1</v>
      </c>
      <c r="AC503" s="19" t="s">
        <v>58</v>
      </c>
      <c r="AD503" s="19" t="s">
        <v>1793</v>
      </c>
      <c r="AE503" s="19" t="s">
        <v>732</v>
      </c>
      <c r="AF503" s="19"/>
    </row>
    <row r="504" spans="1:34" customHeight="1" ht="42">
      <c r="A504" s="19">
        <v>495</v>
      </c>
      <c r="B504" s="19" t="s">
        <v>732</v>
      </c>
      <c r="C504" s="19" t="s">
        <v>1374</v>
      </c>
      <c r="D504" s="19" t="str">
        <f>HYPERLINK("http://henontech.com/fieldsafety/harzard/harzard_show.php?rid=4258&amp;url=harzardrecs.php","5.5米送煤车驾驶室平台铁板腐烂，操作人员在清理现场时一旦踩破身体失去平衡造成一名操作人员小腿扭伤。住院治疗三天，在家休养七天。")</f>
        <v>5.5米送煤车驾驶室平台铁板腐烂，操作人员在清理现场时一旦踩破身体失去平衡造成一名操作人员小腿扭伤。住院治疗三天，在家休养七天。</v>
      </c>
      <c r="E504" s="19" t="s">
        <v>2228</v>
      </c>
      <c r="F504" s="25" t="s">
        <v>828</v>
      </c>
      <c r="G504" s="22" t="s">
        <v>64</v>
      </c>
      <c r="H504" s="19" t="s">
        <v>44</v>
      </c>
      <c r="I504" s="19" t="s">
        <v>97</v>
      </c>
      <c r="J504" s="19" t="s">
        <v>45</v>
      </c>
      <c r="K504" s="19" t="s">
        <v>98</v>
      </c>
      <c r="L504" s="19" t="s">
        <v>99</v>
      </c>
      <c r="M504" s="19" t="s">
        <v>46</v>
      </c>
      <c r="N504" s="19" t="s">
        <v>2229</v>
      </c>
      <c r="O504" s="19" t="s">
        <v>46</v>
      </c>
      <c r="P504" s="19" t="s">
        <v>219</v>
      </c>
      <c r="Q504" s="19" t="s">
        <v>830</v>
      </c>
      <c r="R504" s="19" t="s">
        <v>2230</v>
      </c>
      <c r="S504" s="19"/>
      <c r="T504" s="19" t="s">
        <v>52</v>
      </c>
      <c r="U504" s="19" t="s">
        <v>70</v>
      </c>
      <c r="V504" s="19" t="s">
        <v>80</v>
      </c>
      <c r="W504" s="19" t="s">
        <v>55</v>
      </c>
      <c r="X504" s="19" t="s">
        <v>90</v>
      </c>
      <c r="Y504" s="19"/>
      <c r="Z504" s="19" t="s">
        <v>2231</v>
      </c>
      <c r="AA504" s="19">
        <v>2</v>
      </c>
      <c r="AB504" s="19"/>
      <c r="AC504" s="19" t="s">
        <v>103</v>
      </c>
      <c r="AD504" s="19"/>
      <c r="AE504" s="19"/>
      <c r="AF504" s="19"/>
    </row>
    <row r="505" spans="1:34">
      <c r="A505" s="19">
        <v>496</v>
      </c>
      <c r="B505" s="19" t="s">
        <v>732</v>
      </c>
      <c r="C505" s="19" t="s">
        <v>809</v>
      </c>
      <c r="D505" s="19" t="str">
        <f>HYPERLINK("http://henontech.com/fieldsafety/harzard/harzard_show.php?rid=4259&amp;url=harzardrecs.php","一名职工在巡检南风机工段2号电捕时，由于高压发生器输出电缆老化绝缘降低造成电缆漏电致使该名职工电击摔倒后脚部扭伤，送医务室简单处理后继续上班")</f>
        <v>一名职工在巡检南风机工段2号电捕时，由于高压发生器输出电缆老化绝缘降低造成电缆漏电致使该名职工电击摔倒后脚部扭伤，送医务室简单处理后继续上班</v>
      </c>
      <c r="E505" s="19" t="s">
        <v>2232</v>
      </c>
      <c r="F505" s="25" t="s">
        <v>828</v>
      </c>
      <c r="G505" s="22" t="s">
        <v>64</v>
      </c>
      <c r="H505" s="19" t="s">
        <v>44</v>
      </c>
      <c r="I505" s="19" t="s">
        <v>97</v>
      </c>
      <c r="J505" s="19" t="s">
        <v>45</v>
      </c>
      <c r="K505" s="19" t="s">
        <v>108</v>
      </c>
      <c r="L505" s="19"/>
      <c r="M505" s="19" t="s">
        <v>334</v>
      </c>
      <c r="N505" s="19" t="s">
        <v>720</v>
      </c>
      <c r="O505" s="19" t="s">
        <v>334</v>
      </c>
      <c r="P505" s="19" t="s">
        <v>346</v>
      </c>
      <c r="Q505" s="19" t="s">
        <v>1297</v>
      </c>
      <c r="R505" s="19" t="s">
        <v>2233</v>
      </c>
      <c r="S505" s="19"/>
      <c r="T505" s="19" t="s">
        <v>52</v>
      </c>
      <c r="U505" s="19" t="s">
        <v>70</v>
      </c>
      <c r="V505" s="19" t="s">
        <v>71</v>
      </c>
      <c r="W505" s="19" t="s">
        <v>72</v>
      </c>
      <c r="X505" s="19"/>
      <c r="Y505" s="19"/>
      <c r="Z505" s="19" t="s">
        <v>2234</v>
      </c>
      <c r="AA505" s="19">
        <v>1</v>
      </c>
      <c r="AB505" s="19"/>
      <c r="AC505" s="19" t="s">
        <v>103</v>
      </c>
      <c r="AD505" s="19"/>
      <c r="AE505" s="19"/>
      <c r="AF505" s="19"/>
    </row>
    <row r="506" spans="1:34">
      <c r="A506" s="19">
        <v>497</v>
      </c>
      <c r="B506" s="19" t="s">
        <v>732</v>
      </c>
      <c r="C506" s="19" t="s">
        <v>2179</v>
      </c>
      <c r="D506" s="19" t="str">
        <f>HYPERLINK("http://henontech.com/fieldsafety/harzard/harzard_show.php?rid=4260&amp;url=harzardrecs.php","一名外来施工人员在施工过程中，由于框架狭窄一只脚踩框架，一只脚踩梯子，未系安全带在转身拿工具时，不慎坠落地面，造成腿部骨折")</f>
        <v>一名外来施工人员在施工过程中，由于框架狭窄一只脚踩框架，一只脚踩梯子，未系安全带在转身拿工具时，不慎坠落地面，造成腿部骨折</v>
      </c>
      <c r="E506" s="19" t="s">
        <v>2235</v>
      </c>
      <c r="F506" s="25" t="s">
        <v>828</v>
      </c>
      <c r="G506" s="22" t="s">
        <v>64</v>
      </c>
      <c r="H506" s="19" t="s">
        <v>44</v>
      </c>
      <c r="I506" s="19" t="s">
        <v>119</v>
      </c>
      <c r="J506" s="19" t="s">
        <v>182</v>
      </c>
      <c r="K506" s="19" t="s">
        <v>108</v>
      </c>
      <c r="L506" s="19" t="s">
        <v>2236</v>
      </c>
      <c r="M506" s="19" t="s">
        <v>334</v>
      </c>
      <c r="N506" s="19" t="s">
        <v>456</v>
      </c>
      <c r="O506" s="19" t="s">
        <v>334</v>
      </c>
      <c r="P506" s="19" t="s">
        <v>346</v>
      </c>
      <c r="Q506" s="19" t="s">
        <v>1145</v>
      </c>
      <c r="R506" s="19" t="s">
        <v>809</v>
      </c>
      <c r="S506" s="19"/>
      <c r="T506" s="19" t="s">
        <v>52</v>
      </c>
      <c r="U506" s="19" t="s">
        <v>89</v>
      </c>
      <c r="V506" s="19" t="s">
        <v>71</v>
      </c>
      <c r="W506" s="19" t="s">
        <v>55</v>
      </c>
      <c r="X506" s="19"/>
      <c r="Y506" s="19"/>
      <c r="Z506" s="19" t="s">
        <v>2237</v>
      </c>
      <c r="AA506" s="19">
        <v>1</v>
      </c>
      <c r="AB506" s="19"/>
      <c r="AC506" s="19" t="s">
        <v>103</v>
      </c>
      <c r="AD506" s="19"/>
      <c r="AE506" s="19"/>
      <c r="AF506" s="19"/>
    </row>
    <row r="507" spans="1:34">
      <c r="A507" s="19">
        <v>498</v>
      </c>
      <c r="B507" s="19" t="s">
        <v>732</v>
      </c>
      <c r="C507" s="19" t="s">
        <v>1614</v>
      </c>
      <c r="D507" s="19" t="str">
        <f>HYPERLINK("http://henontech.com/fieldsafety/harzard/harzard_show.php?rid=4261&amp;url=harzardrecs.php","主控楼东井盖未及时复位，一操作工路过时由于井盖未复位不慎踩空导致脚部扭伤，送医院治疗，医生诊断脚部腕骨扭伤需住院2天在家休养7天。")</f>
        <v>主控楼东井盖未及时复位，一操作工路过时由于井盖未复位不慎踩空导致脚部扭伤，送医院治疗，医生诊断脚部腕骨扭伤需住院2天在家休养7天。</v>
      </c>
      <c r="E507" s="19" t="s">
        <v>2238</v>
      </c>
      <c r="F507" s="20" t="s">
        <v>42</v>
      </c>
      <c r="G507" s="21" t="s">
        <v>43</v>
      </c>
      <c r="H507" s="19" t="s">
        <v>44</v>
      </c>
      <c r="I507" s="19" t="s">
        <v>106</v>
      </c>
      <c r="J507" s="19" t="s">
        <v>182</v>
      </c>
      <c r="K507" s="19" t="s">
        <v>108</v>
      </c>
      <c r="L507" s="19"/>
      <c r="M507" s="19" t="s">
        <v>241</v>
      </c>
      <c r="N507" s="19" t="s">
        <v>1825</v>
      </c>
      <c r="O507" s="19" t="s">
        <v>241</v>
      </c>
      <c r="P507" s="19" t="s">
        <v>1793</v>
      </c>
      <c r="Q507" s="19" t="s">
        <v>1780</v>
      </c>
      <c r="R507" s="19" t="s">
        <v>2239</v>
      </c>
      <c r="S507" s="19"/>
      <c r="T507" s="19" t="s">
        <v>52</v>
      </c>
      <c r="U507" s="19" t="s">
        <v>89</v>
      </c>
      <c r="V507" s="19" t="s">
        <v>54</v>
      </c>
      <c r="W507" s="19" t="s">
        <v>72</v>
      </c>
      <c r="X507" s="19" t="s">
        <v>73</v>
      </c>
      <c r="Y507" s="19" t="s">
        <v>73</v>
      </c>
      <c r="Z507" s="19" t="s">
        <v>2240</v>
      </c>
      <c r="AA507" s="19">
        <v>1</v>
      </c>
      <c r="AB507" s="19">
        <v>1</v>
      </c>
      <c r="AC507" s="19" t="s">
        <v>58</v>
      </c>
      <c r="AD507" s="19" t="s">
        <v>1793</v>
      </c>
      <c r="AE507" s="19" t="s">
        <v>732</v>
      </c>
      <c r="AF507" s="19"/>
    </row>
    <row r="508" spans="1:34">
      <c r="A508" s="19">
        <v>499</v>
      </c>
      <c r="B508" s="19" t="s">
        <v>732</v>
      </c>
      <c r="C508" s="19" t="s">
        <v>809</v>
      </c>
      <c r="D508" s="19" t="str">
        <f>HYPERLINK("http://henontech.com/fieldsafety/harzard/harzard_show.php?rid=4262&amp;url=harzardrecs.php","一名操作工在停风机作业过程中关闭该阀门，阀门长时间开启底部焦油渣增多导致阀门关闭时无法关到位，电动阀头未检测到关到位信号持续关闭将DN1000铸铁阀门顶破，造成煤气泄漏，一名操作人员巡检时煤气中毒。")</f>
        <v>一名操作工在停风机作业过程中关闭该阀门，阀门长时间开启底部焦油渣增多导致阀门关闭时无法关到位，电动阀头未检测到关到位信号持续关闭将DN1000铸铁阀门顶破，造成煤气泄漏，一名操作人员巡检时煤气中毒。</v>
      </c>
      <c r="E508" s="19" t="s">
        <v>2241</v>
      </c>
      <c r="F508" s="20" t="s">
        <v>42</v>
      </c>
      <c r="G508" s="22" t="s">
        <v>64</v>
      </c>
      <c r="H508" s="19" t="s">
        <v>44</v>
      </c>
      <c r="I508" s="19" t="s">
        <v>333</v>
      </c>
      <c r="J508" s="19" t="s">
        <v>45</v>
      </c>
      <c r="K508" s="19" t="s">
        <v>170</v>
      </c>
      <c r="L508" s="19" t="s">
        <v>99</v>
      </c>
      <c r="M508" s="19" t="s">
        <v>334</v>
      </c>
      <c r="N508" s="19" t="s">
        <v>559</v>
      </c>
      <c r="O508" s="19" t="s">
        <v>334</v>
      </c>
      <c r="P508" s="19" t="s">
        <v>346</v>
      </c>
      <c r="Q508" s="19" t="s">
        <v>1780</v>
      </c>
      <c r="R508" s="19" t="s">
        <v>2242</v>
      </c>
      <c r="S508" s="19"/>
      <c r="T508" s="19" t="s">
        <v>52</v>
      </c>
      <c r="U508" s="19" t="s">
        <v>89</v>
      </c>
      <c r="V508" s="19" t="s">
        <v>54</v>
      </c>
      <c r="W508" s="19" t="s">
        <v>72</v>
      </c>
      <c r="X508" s="19"/>
      <c r="Y508" s="19"/>
      <c r="Z508" s="19" t="s">
        <v>2243</v>
      </c>
      <c r="AA508" s="19">
        <v>1</v>
      </c>
      <c r="AB508" s="19">
        <v>1</v>
      </c>
      <c r="AC508" s="19" t="s">
        <v>58</v>
      </c>
      <c r="AD508" s="19" t="s">
        <v>346</v>
      </c>
      <c r="AE508" s="19" t="s">
        <v>888</v>
      </c>
      <c r="AF508" s="19"/>
    </row>
    <row r="509" spans="1:34" customHeight="1" ht="42">
      <c r="A509" s="19">
        <v>500</v>
      </c>
      <c r="B509" s="19" t="s">
        <v>732</v>
      </c>
      <c r="C509" s="19" t="s">
        <v>1106</v>
      </c>
      <c r="D509" s="19" t="str">
        <f>HYPERLINK("http://henontech.com/fieldsafety/harzard/harzard_show.php?rid=4264&amp;url=harzardrecs.php","3号站因调节池内废水指标浓度、气味等比较高，提升泵被废水腐蚀严重，造成机封处漏液，滴在地面小区域内产生异味，造成部分区域环境污染。")</f>
        <v>3号站因调节池内废水指标浓度、气味等比较高，提升泵被废水腐蚀严重，造成机封处漏液，滴在地面小区域内产生异味，造成部分区域环境污染。</v>
      </c>
      <c r="E509" s="19" t="s">
        <v>2244</v>
      </c>
      <c r="F509" s="20" t="s">
        <v>42</v>
      </c>
      <c r="G509" s="22" t="s">
        <v>64</v>
      </c>
      <c r="H509" s="19" t="s">
        <v>44</v>
      </c>
      <c r="I509" s="19"/>
      <c r="J509" s="19" t="s">
        <v>175</v>
      </c>
      <c r="K509" s="19"/>
      <c r="L509" s="19"/>
      <c r="M509" s="19" t="s">
        <v>232</v>
      </c>
      <c r="N509" s="19" t="s">
        <v>2245</v>
      </c>
      <c r="O509" s="19" t="s">
        <v>232</v>
      </c>
      <c r="P509" s="19" t="s">
        <v>269</v>
      </c>
      <c r="Q509" s="19" t="s">
        <v>1297</v>
      </c>
      <c r="R509" s="19" t="s">
        <v>2246</v>
      </c>
      <c r="S509" s="19"/>
      <c r="T509" s="19" t="s">
        <v>200</v>
      </c>
      <c r="U509" s="19" t="s">
        <v>79</v>
      </c>
      <c r="V509" s="19" t="s">
        <v>80</v>
      </c>
      <c r="W509" s="19" t="s">
        <v>81</v>
      </c>
      <c r="X509" s="19" t="s">
        <v>73</v>
      </c>
      <c r="Y509" s="19" t="s">
        <v>73</v>
      </c>
      <c r="Z509" s="19" t="s">
        <v>2247</v>
      </c>
      <c r="AA509" s="19">
        <v>2</v>
      </c>
      <c r="AB509" s="19">
        <v>0</v>
      </c>
      <c r="AC509" s="19" t="s">
        <v>58</v>
      </c>
      <c r="AD509" s="19" t="s">
        <v>269</v>
      </c>
      <c r="AE509" s="19" t="s">
        <v>1187</v>
      </c>
      <c r="AF509" s="19"/>
    </row>
    <row r="510" spans="1:34">
      <c r="A510" s="19">
        <v>501</v>
      </c>
      <c r="B510" s="19" t="s">
        <v>732</v>
      </c>
      <c r="C510" s="19" t="s">
        <v>2248</v>
      </c>
      <c r="D510" s="19" t="str">
        <f>HYPERLINK("http://henontech.com/fieldsafety/harzard/harzard_show.php?rid=4266&amp;url=harzardrecs.php","除油池爬梯台阶开焊，当操作人员巡检经过时台阶断裂，脚下踏空，爬梯距地面3米，假如手掌未抓牢护栏，将导致人员跌落，臀部率先着地，造成尾骨骨折，住院治疗两个月，在家休养一年。")</f>
        <v>除油池爬梯台阶开焊，当操作人员巡检经过时台阶断裂，脚下踏空，爬梯距地面3米，假如手掌未抓牢护栏，将导致人员跌落，臀部率先着地，造成尾骨骨折，住院治疗两个月，在家休养一年。</v>
      </c>
      <c r="E510" s="19" t="s">
        <v>2249</v>
      </c>
      <c r="F510" s="20" t="s">
        <v>42</v>
      </c>
      <c r="G510" s="21" t="s">
        <v>43</v>
      </c>
      <c r="H510" s="19" t="s">
        <v>44</v>
      </c>
      <c r="I510" s="19" t="s">
        <v>333</v>
      </c>
      <c r="J510" s="19" t="s">
        <v>45</v>
      </c>
      <c r="K510" s="19" t="s">
        <v>170</v>
      </c>
      <c r="L510" s="19"/>
      <c r="M510" s="19" t="s">
        <v>232</v>
      </c>
      <c r="N510" s="19" t="s">
        <v>2250</v>
      </c>
      <c r="O510" s="19" t="s">
        <v>232</v>
      </c>
      <c r="P510" s="19" t="s">
        <v>1281</v>
      </c>
      <c r="Q510" s="19" t="s">
        <v>2222</v>
      </c>
      <c r="R510" s="19" t="s">
        <v>2251</v>
      </c>
      <c r="S510" s="19"/>
      <c r="T510" s="19" t="s">
        <v>52</v>
      </c>
      <c r="U510" s="19" t="s">
        <v>89</v>
      </c>
      <c r="V510" s="19" t="s">
        <v>71</v>
      </c>
      <c r="W510" s="19" t="s">
        <v>55</v>
      </c>
      <c r="X510" s="19" t="s">
        <v>73</v>
      </c>
      <c r="Y510" s="19" t="s">
        <v>73</v>
      </c>
      <c r="Z510" s="19" t="s">
        <v>2252</v>
      </c>
      <c r="AA510" s="19">
        <v>1</v>
      </c>
      <c r="AB510" s="19">
        <v>1</v>
      </c>
      <c r="AC510" s="19" t="s">
        <v>58</v>
      </c>
      <c r="AD510" s="19" t="s">
        <v>1281</v>
      </c>
      <c r="AE510" s="19" t="s">
        <v>932</v>
      </c>
      <c r="AF510" s="19"/>
    </row>
    <row r="511" spans="1:34">
      <c r="A511" s="19">
        <v>502</v>
      </c>
      <c r="B511" s="19" t="s">
        <v>732</v>
      </c>
      <c r="C511" s="19" t="s">
        <v>1743</v>
      </c>
      <c r="D511" s="19" t="str">
        <f>HYPERLINK("http://henontech.com/fieldsafety/harzard/harzard_show.php?rid=4267&amp;url=harzardrecs.php","循环水池地面铁管未清理，一操作工夜间巡检时由于视线不好，不慎被铁管绊倒，造成额头轻微擦伤，医务室简单处理后继续上班。")</f>
        <v>循环水池地面铁管未清理，一操作工夜间巡检时由于视线不好，不慎被铁管绊倒，造成额头轻微擦伤，医务室简单处理后继续上班。</v>
      </c>
      <c r="E511" s="19" t="s">
        <v>2253</v>
      </c>
      <c r="F511" s="20" t="s">
        <v>42</v>
      </c>
      <c r="G511" s="22" t="s">
        <v>64</v>
      </c>
      <c r="H511" s="19" t="s">
        <v>44</v>
      </c>
      <c r="I511" s="19" t="s">
        <v>119</v>
      </c>
      <c r="J511" s="19" t="s">
        <v>527</v>
      </c>
      <c r="K511" s="19" t="s">
        <v>98</v>
      </c>
      <c r="L511" s="19" t="s">
        <v>99</v>
      </c>
      <c r="M511" s="19" t="s">
        <v>334</v>
      </c>
      <c r="N511" s="19" t="s">
        <v>2254</v>
      </c>
      <c r="O511" s="19" t="s">
        <v>334</v>
      </c>
      <c r="P511" s="19" t="s">
        <v>346</v>
      </c>
      <c r="Q511" s="19" t="s">
        <v>1780</v>
      </c>
      <c r="R511" s="19" t="s">
        <v>291</v>
      </c>
      <c r="S511" s="19"/>
      <c r="T511" s="19" t="s">
        <v>52</v>
      </c>
      <c r="U511" s="19" t="s">
        <v>70</v>
      </c>
      <c r="V511" s="19" t="s">
        <v>54</v>
      </c>
      <c r="W511" s="19" t="s">
        <v>81</v>
      </c>
      <c r="X511" s="19"/>
      <c r="Y511" s="19"/>
      <c r="Z511" s="19" t="s">
        <v>2255</v>
      </c>
      <c r="AA511" s="19">
        <v>1</v>
      </c>
      <c r="AB511" s="19">
        <v>1</v>
      </c>
      <c r="AC511" s="19" t="s">
        <v>58</v>
      </c>
      <c r="AD511" s="19" t="s">
        <v>346</v>
      </c>
      <c r="AE511" s="19" t="s">
        <v>830</v>
      </c>
      <c r="AF511" s="19"/>
    </row>
    <row r="512" spans="1:34">
      <c r="A512" s="19">
        <v>503</v>
      </c>
      <c r="B512" s="19" t="s">
        <v>732</v>
      </c>
      <c r="C512" s="19" t="s">
        <v>578</v>
      </c>
      <c r="D512" s="19" t="str">
        <f>HYPERLINK("http://henontech.com/fieldsafety/harzard/harzard_show.php?rid=4269&amp;url=harzardrecs.php","煤棚西侧盖板损坏，一员工不慎踏入，造成右脚踝关节扭伤，送医确诊无大碍，回岗位继续工作。")</f>
        <v>煤棚西侧盖板损坏，一员工不慎踏入，造成右脚踝关节扭伤，送医确诊无大碍，回岗位继续工作。</v>
      </c>
      <c r="E512" s="19" t="s">
        <v>2256</v>
      </c>
      <c r="F512" s="20" t="s">
        <v>42</v>
      </c>
      <c r="G512" s="21" t="s">
        <v>43</v>
      </c>
      <c r="H512" s="19" t="s">
        <v>44</v>
      </c>
      <c r="I512" s="19" t="s">
        <v>97</v>
      </c>
      <c r="J512" s="19" t="s">
        <v>45</v>
      </c>
      <c r="K512" s="19" t="s">
        <v>108</v>
      </c>
      <c r="L512" s="19" t="s">
        <v>99</v>
      </c>
      <c r="M512" s="19" t="s">
        <v>565</v>
      </c>
      <c r="N512" s="19" t="s">
        <v>2257</v>
      </c>
      <c r="O512" s="19" t="s">
        <v>565</v>
      </c>
      <c r="P512" s="19" t="s">
        <v>627</v>
      </c>
      <c r="Q512" s="19" t="s">
        <v>932</v>
      </c>
      <c r="R512" s="19" t="s">
        <v>2258</v>
      </c>
      <c r="S512" s="19"/>
      <c r="T512" s="19" t="s">
        <v>52</v>
      </c>
      <c r="U512" s="19" t="s">
        <v>70</v>
      </c>
      <c r="V512" s="19" t="s">
        <v>71</v>
      </c>
      <c r="W512" s="19" t="s">
        <v>72</v>
      </c>
      <c r="X512" s="19"/>
      <c r="Y512" s="19"/>
      <c r="Z512" s="19" t="s">
        <v>2259</v>
      </c>
      <c r="AA512" s="19">
        <v>1</v>
      </c>
      <c r="AB512" s="19">
        <v>1</v>
      </c>
      <c r="AC512" s="19" t="s">
        <v>58</v>
      </c>
      <c r="AD512" s="19" t="s">
        <v>627</v>
      </c>
      <c r="AE512" s="19" t="s">
        <v>732</v>
      </c>
      <c r="AF512" s="19"/>
    </row>
    <row r="513" spans="1:34">
      <c r="A513" s="19">
        <v>504</v>
      </c>
      <c r="B513" s="19" t="s">
        <v>732</v>
      </c>
      <c r="C513" s="19" t="s">
        <v>909</v>
      </c>
      <c r="D513" s="19" t="str">
        <f>HYPERLINK("http://henontech.com/fieldsafety/harzard/harzard_show.php?rid=4270&amp;url=harzardrecs.php","锅炉操作工使用完工具后因存放不规范，导致一名操作工在巡检时工具从高空坠落砸伤操作工左肩锁骨。")</f>
        <v>锅炉操作工使用完工具后因存放不规范，导致一名操作工在巡检时工具从高空坠落砸伤操作工左肩锁骨。</v>
      </c>
      <c r="E513" s="19" t="s">
        <v>2260</v>
      </c>
      <c r="F513" s="26" t="s">
        <v>1027</v>
      </c>
      <c r="G513" s="19"/>
      <c r="H513" s="19" t="s">
        <v>44</v>
      </c>
      <c r="I513" s="19"/>
      <c r="J513" s="19" t="s">
        <v>45</v>
      </c>
      <c r="K513" s="19" t="s">
        <v>170</v>
      </c>
      <c r="L513" s="19"/>
      <c r="M513" s="19" t="s">
        <v>663</v>
      </c>
      <c r="N513" s="19" t="s">
        <v>2261</v>
      </c>
      <c r="O513" s="19"/>
      <c r="P513" s="19"/>
      <c r="Q513" s="19"/>
      <c r="R513" s="19" t="s">
        <v>2262</v>
      </c>
      <c r="S513" s="19"/>
      <c r="T513" s="19" t="s">
        <v>52</v>
      </c>
      <c r="U513" s="19" t="s">
        <v>89</v>
      </c>
      <c r="V513" s="19" t="s">
        <v>71</v>
      </c>
      <c r="W513" s="19" t="s">
        <v>55</v>
      </c>
      <c r="X513" s="19"/>
      <c r="Y513" s="19"/>
      <c r="Z513" s="19"/>
      <c r="AA513" s="19"/>
      <c r="AB513" s="19"/>
      <c r="AC513" s="19" t="s">
        <v>103</v>
      </c>
      <c r="AD513" s="19"/>
      <c r="AE513" s="19"/>
      <c r="AF513" s="19"/>
    </row>
    <row r="514" spans="1:34">
      <c r="A514" s="19">
        <v>505</v>
      </c>
      <c r="B514" s="19" t="s">
        <v>732</v>
      </c>
      <c r="C514" s="19" t="s">
        <v>232</v>
      </c>
      <c r="D514" s="19" t="str">
        <f>HYPERLINK("http://henontech.com/fieldsafety/harzard/harzard_show.php?rid=4271&amp;url=harzardrecs.php","生化缺氧池搅拌器线路老化，搅拌器短路跳闸，缺氧池污泥沉降，造成后续好氧池指标不稳，出水指标不合格？")</f>
        <v>生化缺氧池搅拌器线路老化，搅拌器短路跳闸，缺氧池污泥沉降，造成后续好氧池指标不稳，出水指标不合格？</v>
      </c>
      <c r="E514" s="19" t="s">
        <v>2263</v>
      </c>
      <c r="F514" s="20" t="s">
        <v>42</v>
      </c>
      <c r="G514" s="22" t="s">
        <v>64</v>
      </c>
      <c r="H514" s="19" t="s">
        <v>44</v>
      </c>
      <c r="I514" s="19"/>
      <c r="J514" s="19" t="s">
        <v>45</v>
      </c>
      <c r="K514" s="19"/>
      <c r="L514" s="19"/>
      <c r="M514" s="19" t="s">
        <v>232</v>
      </c>
      <c r="N514" s="19" t="s">
        <v>2264</v>
      </c>
      <c r="O514" s="19" t="s">
        <v>232</v>
      </c>
      <c r="P514" s="19" t="s">
        <v>269</v>
      </c>
      <c r="Q514" s="19" t="s">
        <v>2265</v>
      </c>
      <c r="R514" s="19" t="s">
        <v>2266</v>
      </c>
      <c r="S514" s="19"/>
      <c r="T514" s="19" t="s">
        <v>200</v>
      </c>
      <c r="U514" s="19" t="s">
        <v>79</v>
      </c>
      <c r="V514" s="19" t="s">
        <v>80</v>
      </c>
      <c r="W514" s="19" t="s">
        <v>81</v>
      </c>
      <c r="X514" s="19" t="s">
        <v>73</v>
      </c>
      <c r="Y514" s="19" t="s">
        <v>73</v>
      </c>
      <c r="Z514" s="19" t="s">
        <v>2267</v>
      </c>
      <c r="AA514" s="19">
        <v>1</v>
      </c>
      <c r="AB514" s="19">
        <v>0</v>
      </c>
      <c r="AC514" s="19" t="s">
        <v>58</v>
      </c>
      <c r="AD514" s="19" t="s">
        <v>269</v>
      </c>
      <c r="AE514" s="19" t="s">
        <v>1187</v>
      </c>
      <c r="AF514" s="19"/>
    </row>
    <row r="515" spans="1:34">
      <c r="A515" s="19">
        <v>506</v>
      </c>
      <c r="B515" s="19" t="s">
        <v>732</v>
      </c>
      <c r="C515" s="19" t="s">
        <v>873</v>
      </c>
      <c r="D515" s="19" t="str">
        <f>HYPERLINK("http://henontech.com/fieldsafety/harzard/harzard_show.php?rid=4274&amp;url=harzardrecs.php","西硫铵管道泵电机线脱落裸漏未及时处理，一名巡检工夜间巡检时发生触电伤害")</f>
        <v>西硫铵管道泵电机线脱落裸漏未及时处理，一名巡检工夜间巡检时发生触电伤害</v>
      </c>
      <c r="E515" s="19" t="s">
        <v>2268</v>
      </c>
      <c r="F515" s="20" t="s">
        <v>42</v>
      </c>
      <c r="G515" s="22" t="s">
        <v>64</v>
      </c>
      <c r="H515" s="19" t="s">
        <v>44</v>
      </c>
      <c r="I515" s="19" t="s">
        <v>119</v>
      </c>
      <c r="J515" s="19" t="s">
        <v>231</v>
      </c>
      <c r="K515" s="19" t="s">
        <v>108</v>
      </c>
      <c r="L515" s="19" t="s">
        <v>99</v>
      </c>
      <c r="M515" s="19" t="s">
        <v>334</v>
      </c>
      <c r="N515" s="19" t="s">
        <v>498</v>
      </c>
      <c r="O515" s="19" t="s">
        <v>334</v>
      </c>
      <c r="P515" s="19" t="s">
        <v>346</v>
      </c>
      <c r="Q515" s="19" t="s">
        <v>2012</v>
      </c>
      <c r="R515" s="19" t="s">
        <v>2269</v>
      </c>
      <c r="S515" s="19"/>
      <c r="T515" s="19" t="s">
        <v>52</v>
      </c>
      <c r="U515" s="19" t="s">
        <v>70</v>
      </c>
      <c r="V515" s="19" t="s">
        <v>54</v>
      </c>
      <c r="W515" s="19" t="s">
        <v>81</v>
      </c>
      <c r="X515" s="19"/>
      <c r="Y515" s="19"/>
      <c r="Z515" s="19" t="s">
        <v>2270</v>
      </c>
      <c r="AA515" s="19">
        <v>1</v>
      </c>
      <c r="AB515" s="19">
        <v>1</v>
      </c>
      <c r="AC515" s="19" t="s">
        <v>58</v>
      </c>
      <c r="AD515" s="19" t="s">
        <v>346</v>
      </c>
      <c r="AE515" s="19" t="s">
        <v>888</v>
      </c>
      <c r="AF515" s="19"/>
    </row>
    <row r="516" spans="1:34">
      <c r="A516" s="19">
        <v>507</v>
      </c>
      <c r="B516" s="19" t="s">
        <v>732</v>
      </c>
      <c r="C516" s="19" t="s">
        <v>232</v>
      </c>
      <c r="D516" s="19" t="str">
        <f>HYPERLINK("http://henontech.com/fieldsafety/harzard/harzard_show.php?rid=4276&amp;url=harzardrecs.php","变频器调节表电源插头松动掉落，一旦短路，将导致变频器烧毁，造成经济损失5000千元的设备损坏。")</f>
        <v>变频器调节表电源插头松动掉落，一旦短路，将导致变频器烧毁，造成经济损失5000千元的设备损坏。</v>
      </c>
      <c r="E516" s="19" t="s">
        <v>2271</v>
      </c>
      <c r="F516" s="20" t="s">
        <v>42</v>
      </c>
      <c r="G516" s="22" t="s">
        <v>64</v>
      </c>
      <c r="H516" s="19" t="s">
        <v>44</v>
      </c>
      <c r="I516" s="19"/>
      <c r="J516" s="19" t="s">
        <v>231</v>
      </c>
      <c r="K516" s="19"/>
      <c r="L516" s="19"/>
      <c r="M516" s="19" t="s">
        <v>232</v>
      </c>
      <c r="N516" s="19" t="s">
        <v>2272</v>
      </c>
      <c r="O516" s="19" t="s">
        <v>232</v>
      </c>
      <c r="P516" s="19" t="s">
        <v>269</v>
      </c>
      <c r="Q516" s="19" t="s">
        <v>1297</v>
      </c>
      <c r="R516" s="19" t="s">
        <v>2273</v>
      </c>
      <c r="S516" s="19"/>
      <c r="T516" s="19" t="s">
        <v>78</v>
      </c>
      <c r="U516" s="19" t="s">
        <v>70</v>
      </c>
      <c r="V516" s="19" t="s">
        <v>80</v>
      </c>
      <c r="W516" s="19" t="s">
        <v>55</v>
      </c>
      <c r="X516" s="19" t="s">
        <v>73</v>
      </c>
      <c r="Y516" s="19" t="s">
        <v>73</v>
      </c>
      <c r="Z516" s="19" t="s">
        <v>2274</v>
      </c>
      <c r="AA516" s="19">
        <v>1</v>
      </c>
      <c r="AB516" s="19">
        <v>0</v>
      </c>
      <c r="AC516" s="19" t="s">
        <v>58</v>
      </c>
      <c r="AD516" s="19" t="s">
        <v>269</v>
      </c>
      <c r="AE516" s="19" t="s">
        <v>1187</v>
      </c>
      <c r="AF516" s="19"/>
    </row>
    <row r="517" spans="1:34">
      <c r="A517" s="19">
        <v>508</v>
      </c>
      <c r="B517" s="19" t="s">
        <v>732</v>
      </c>
      <c r="C517" s="19" t="s">
        <v>946</v>
      </c>
      <c r="D517" s="19" t="str">
        <f>HYPERLINK("http://henontech.com/fieldsafety/harzard/harzard_show.php?rid=4277&amp;url=harzardrecs.php","饱和器接地开焊，假如雷雨天气一名操作工巡检到此，设备带电被电击伤休克，经紧急抢救后送医院治疗七天，回家修养三天，损工十天。")</f>
        <v>饱和器接地开焊，假如雷雨天气一名操作工巡检到此，设备带电被电击伤休克，经紧急抢救后送医院治疗七天，回家修养三天，损工十天。</v>
      </c>
      <c r="E517" s="19" t="s">
        <v>2275</v>
      </c>
      <c r="F517" s="20" t="s">
        <v>42</v>
      </c>
      <c r="G517" s="22" t="s">
        <v>64</v>
      </c>
      <c r="H517" s="19" t="s">
        <v>44</v>
      </c>
      <c r="I517" s="19" t="s">
        <v>119</v>
      </c>
      <c r="J517" s="19" t="s">
        <v>45</v>
      </c>
      <c r="K517" s="19" t="s">
        <v>108</v>
      </c>
      <c r="L517" s="19"/>
      <c r="M517" s="19" t="s">
        <v>334</v>
      </c>
      <c r="N517" s="19" t="s">
        <v>466</v>
      </c>
      <c r="O517" s="19" t="s">
        <v>334</v>
      </c>
      <c r="P517" s="19" t="s">
        <v>346</v>
      </c>
      <c r="Q517" s="19" t="s">
        <v>2012</v>
      </c>
      <c r="R517" s="19" t="s">
        <v>2276</v>
      </c>
      <c r="S517" s="19"/>
      <c r="T517" s="19" t="s">
        <v>52</v>
      </c>
      <c r="U517" s="19" t="s">
        <v>89</v>
      </c>
      <c r="V517" s="19" t="s">
        <v>54</v>
      </c>
      <c r="W517" s="19" t="s">
        <v>72</v>
      </c>
      <c r="X517" s="19"/>
      <c r="Y517" s="19"/>
      <c r="Z517" s="19" t="s">
        <v>2277</v>
      </c>
      <c r="AA517" s="19">
        <v>1</v>
      </c>
      <c r="AB517" s="19">
        <v>1</v>
      </c>
      <c r="AC517" s="19" t="s">
        <v>58</v>
      </c>
      <c r="AD517" s="19" t="s">
        <v>346</v>
      </c>
      <c r="AE517" s="19" t="s">
        <v>888</v>
      </c>
      <c r="AF517" s="19"/>
    </row>
    <row r="518" spans="1:34">
      <c r="A518" s="19">
        <v>509</v>
      </c>
      <c r="B518" s="19" t="s">
        <v>732</v>
      </c>
      <c r="C518" s="19" t="s">
        <v>2278</v>
      </c>
      <c r="D518" s="19" t="str">
        <f>HYPERLINK("http://henontech.com/fieldsafety/harzard/harzard_show.php?rid=4279&amp;url=harzardrecs.php","加药间絮凝剂泵药品溢出造成桥架内电缆腐蚀短路，设备停电，造成生产事故")</f>
        <v>加药间絮凝剂泵药品溢出造成桥架内电缆腐蚀短路，设备停电，造成生产事故</v>
      </c>
      <c r="E518" s="19" t="s">
        <v>2279</v>
      </c>
      <c r="F518" s="26" t="s">
        <v>1027</v>
      </c>
      <c r="G518" s="19"/>
      <c r="H518" s="19" t="s">
        <v>44</v>
      </c>
      <c r="I518" s="19" t="s">
        <v>97</v>
      </c>
      <c r="J518" s="19" t="s">
        <v>45</v>
      </c>
      <c r="K518" s="19" t="s">
        <v>170</v>
      </c>
      <c r="L518" s="19" t="s">
        <v>99</v>
      </c>
      <c r="M518" s="19" t="s">
        <v>663</v>
      </c>
      <c r="N518" s="19" t="s">
        <v>952</v>
      </c>
      <c r="O518" s="19"/>
      <c r="P518" s="19"/>
      <c r="Q518" s="19"/>
      <c r="R518" s="19" t="s">
        <v>921</v>
      </c>
      <c r="S518" s="19"/>
      <c r="T518" s="19" t="s">
        <v>78</v>
      </c>
      <c r="U518" s="19" t="s">
        <v>79</v>
      </c>
      <c r="V518" s="19" t="s">
        <v>54</v>
      </c>
      <c r="W518" s="19" t="s">
        <v>81</v>
      </c>
      <c r="X518" s="19"/>
      <c r="Y518" s="19"/>
      <c r="Z518" s="19"/>
      <c r="AA518" s="19"/>
      <c r="AB518" s="19"/>
      <c r="AC518" s="19" t="s">
        <v>103</v>
      </c>
      <c r="AD518" s="19"/>
      <c r="AE518" s="19"/>
      <c r="AF518" s="19"/>
    </row>
    <row r="519" spans="1:34">
      <c r="A519" s="19">
        <v>510</v>
      </c>
      <c r="B519" s="19" t="s">
        <v>732</v>
      </c>
      <c r="C519" s="19" t="s">
        <v>2280</v>
      </c>
      <c r="D519" s="19" t="str">
        <f>HYPERLINK("http://henontech.com/fieldsafety/harzard/harzard_show.php?rid=4281&amp;url=harzardrecs.php","如果一名职工在南冷凝泵房巡检时，因蒸汽管子放置不规范，被蒸汽管子绊倒，造成左脚踝扭伤，在家休养七天，损工七天。")</f>
        <v>如果一名职工在南冷凝泵房巡检时，因蒸汽管子放置不规范，被蒸汽管子绊倒，造成左脚踝扭伤，在家休养七天，损工七天。</v>
      </c>
      <c r="E519" s="19" t="s">
        <v>2281</v>
      </c>
      <c r="F519" s="20" t="s">
        <v>42</v>
      </c>
      <c r="G519" s="22" t="s">
        <v>64</v>
      </c>
      <c r="H519" s="19" t="s">
        <v>44</v>
      </c>
      <c r="I519" s="19" t="s">
        <v>106</v>
      </c>
      <c r="J519" s="19" t="s">
        <v>45</v>
      </c>
      <c r="K519" s="19" t="s">
        <v>170</v>
      </c>
      <c r="L519" s="19" t="s">
        <v>99</v>
      </c>
      <c r="M519" s="19" t="s">
        <v>334</v>
      </c>
      <c r="N519" s="19" t="s">
        <v>2282</v>
      </c>
      <c r="O519" s="19" t="s">
        <v>334</v>
      </c>
      <c r="P519" s="19" t="s">
        <v>346</v>
      </c>
      <c r="Q519" s="19" t="s">
        <v>1967</v>
      </c>
      <c r="R519" s="19" t="s">
        <v>1045</v>
      </c>
      <c r="S519" s="19"/>
      <c r="T519" s="19" t="s">
        <v>52</v>
      </c>
      <c r="U519" s="19" t="s">
        <v>89</v>
      </c>
      <c r="V519" s="19" t="s">
        <v>71</v>
      </c>
      <c r="W519" s="19" t="s">
        <v>55</v>
      </c>
      <c r="X519" s="19"/>
      <c r="Y519" s="19"/>
      <c r="Z519" s="19" t="s">
        <v>2283</v>
      </c>
      <c r="AA519" s="19">
        <v>1</v>
      </c>
      <c r="AB519" s="19">
        <v>1</v>
      </c>
      <c r="AC519" s="19" t="s">
        <v>58</v>
      </c>
      <c r="AD519" s="19" t="s">
        <v>346</v>
      </c>
      <c r="AE519" s="19" t="s">
        <v>1970</v>
      </c>
      <c r="AF519" s="19"/>
    </row>
    <row r="520" spans="1:34">
      <c r="A520" s="19">
        <v>511</v>
      </c>
      <c r="B520" s="19" t="s">
        <v>732</v>
      </c>
      <c r="C520" s="19" t="s">
        <v>741</v>
      </c>
      <c r="D520" s="19" t="str">
        <f>HYPERLINK("http://henontech.com/fieldsafety/harzard/harzard_show.php?rid=4282&amp;url=harzardrecs.php","硫铵四楼结晶槽上的吹扫管阀门因长时间使用且母液腐蚀阀门导致阀门坏母液溢出，如果不及时更换，阀门腐蚀严重，母液会大量溢出造成大的环保事故。")</f>
        <v>硫铵四楼结晶槽上的吹扫管阀门因长时间使用且母液腐蚀阀门导致阀门坏母液溢出，如果不及时更换，阀门腐蚀严重，母液会大量溢出造成大的环保事故。</v>
      </c>
      <c r="E520" s="19" t="s">
        <v>1400</v>
      </c>
      <c r="F520" s="20" t="s">
        <v>42</v>
      </c>
      <c r="G520" s="22" t="s">
        <v>64</v>
      </c>
      <c r="H520" s="19" t="s">
        <v>44</v>
      </c>
      <c r="I520" s="19" t="s">
        <v>97</v>
      </c>
      <c r="J520" s="19" t="s">
        <v>45</v>
      </c>
      <c r="K520" s="19" t="s">
        <v>170</v>
      </c>
      <c r="L520" s="19" t="s">
        <v>99</v>
      </c>
      <c r="M520" s="19" t="s">
        <v>334</v>
      </c>
      <c r="N520" s="19" t="s">
        <v>948</v>
      </c>
      <c r="O520" s="19" t="s">
        <v>334</v>
      </c>
      <c r="P520" s="19" t="s">
        <v>346</v>
      </c>
      <c r="Q520" s="19" t="s">
        <v>1967</v>
      </c>
      <c r="R520" s="19" t="s">
        <v>2284</v>
      </c>
      <c r="S520" s="19"/>
      <c r="T520" s="19" t="s">
        <v>200</v>
      </c>
      <c r="U520" s="19" t="s">
        <v>79</v>
      </c>
      <c r="V520" s="19" t="s">
        <v>80</v>
      </c>
      <c r="W520" s="19" t="s">
        <v>81</v>
      </c>
      <c r="X520" s="19"/>
      <c r="Y520" s="19"/>
      <c r="Z520" s="19" t="s">
        <v>745</v>
      </c>
      <c r="AA520" s="19">
        <v>1</v>
      </c>
      <c r="AB520" s="19">
        <v>1</v>
      </c>
      <c r="AC520" s="19" t="s">
        <v>58</v>
      </c>
      <c r="AD520" s="19" t="s">
        <v>346</v>
      </c>
      <c r="AE520" s="19" t="s">
        <v>888</v>
      </c>
      <c r="AF520" s="19"/>
    </row>
    <row r="521" spans="1:34">
      <c r="A521" s="19">
        <v>512</v>
      </c>
      <c r="B521" s="19" t="s">
        <v>732</v>
      </c>
      <c r="C521" s="19" t="s">
        <v>2285</v>
      </c>
      <c r="D521" s="19" t="str">
        <f>HYPERLINK("http://henontech.com/fieldsafety/harzard/harzard_show.php?rid=4283&amp;url=harzardrecs.php","深度脱硫，脱硫塔顶部煤气放散缺失避雷针夏季雷电天气较多，顶部放散阀门生锈关不严的情况下遇到雷电天气，雷电可能把放散口泄露出来的煤气引燃，从而发生煤气着火事故，可能造成煤气回火管道爆燃，两名人员烧伤死亡")</f>
        <v>深度脱硫，脱硫塔顶部煤气放散缺失避雷针夏季雷电天气较多，顶部放散阀门生锈关不严的情况下遇到雷电天气，雷电可能把放散口泄露出来的煤气引燃，从而发生煤气着火事故，可能造成煤气回火管道爆燃，两名人员烧伤死亡</v>
      </c>
      <c r="E521" s="19" t="s">
        <v>2286</v>
      </c>
      <c r="F521" s="20" t="s">
        <v>42</v>
      </c>
      <c r="G521" s="22" t="s">
        <v>64</v>
      </c>
      <c r="H521" s="19" t="s">
        <v>44</v>
      </c>
      <c r="I521" s="19" t="s">
        <v>97</v>
      </c>
      <c r="J521" s="19" t="s">
        <v>45</v>
      </c>
      <c r="K521" s="19" t="s">
        <v>98</v>
      </c>
      <c r="L521" s="19" t="s">
        <v>99</v>
      </c>
      <c r="M521" s="19" t="s">
        <v>334</v>
      </c>
      <c r="N521" s="19" t="s">
        <v>1432</v>
      </c>
      <c r="O521" s="19" t="s">
        <v>334</v>
      </c>
      <c r="P521" s="19" t="s">
        <v>346</v>
      </c>
      <c r="Q521" s="19" t="s">
        <v>1967</v>
      </c>
      <c r="R521" s="19" t="s">
        <v>2287</v>
      </c>
      <c r="S521" s="19"/>
      <c r="T521" s="19" t="s">
        <v>52</v>
      </c>
      <c r="U521" s="19" t="s">
        <v>53</v>
      </c>
      <c r="V521" s="19" t="s">
        <v>71</v>
      </c>
      <c r="W521" s="19" t="s">
        <v>116</v>
      </c>
      <c r="X521" s="19"/>
      <c r="Y521" s="19"/>
      <c r="Z521" s="19" t="s">
        <v>2288</v>
      </c>
      <c r="AA521" s="19">
        <v>1</v>
      </c>
      <c r="AB521" s="19">
        <v>1</v>
      </c>
      <c r="AC521" s="19" t="s">
        <v>58</v>
      </c>
      <c r="AD521" s="19" t="s">
        <v>346</v>
      </c>
      <c r="AE521" s="19" t="s">
        <v>888</v>
      </c>
      <c r="AF521" s="19"/>
    </row>
    <row r="522" spans="1:34">
      <c r="A522" s="19">
        <v>513</v>
      </c>
      <c r="B522" s="19" t="s">
        <v>732</v>
      </c>
      <c r="C522" s="19" t="s">
        <v>2278</v>
      </c>
      <c r="D522" s="19" t="str">
        <f>HYPERLINK("http://henontech.com/fieldsafety/harzard/harzard_show.php?rid=4284&amp;url=harzardrecs.php","热力老化水电源柜隔离刀闸灭弧罩缺失，在拉合过程中造成短路，使上一级开关跳闸，造成大面积停电")</f>
        <v>热力老化水电源柜隔离刀闸灭弧罩缺失，在拉合过程中造成短路，使上一级开关跳闸，造成大面积停电</v>
      </c>
      <c r="E522" s="19" t="s">
        <v>2289</v>
      </c>
      <c r="F522" s="26" t="s">
        <v>1027</v>
      </c>
      <c r="G522" s="19"/>
      <c r="H522" s="19" t="s">
        <v>44</v>
      </c>
      <c r="I522" s="19" t="s">
        <v>97</v>
      </c>
      <c r="J522" s="19" t="s">
        <v>45</v>
      </c>
      <c r="K522" s="19"/>
      <c r="L522" s="19" t="s">
        <v>99</v>
      </c>
      <c r="M522" s="19" t="s">
        <v>663</v>
      </c>
      <c r="N522" s="19" t="s">
        <v>925</v>
      </c>
      <c r="O522" s="19"/>
      <c r="P522" s="19"/>
      <c r="Q522" s="19"/>
      <c r="R522" s="19" t="s">
        <v>2290</v>
      </c>
      <c r="S522" s="19"/>
      <c r="T522" s="19" t="s">
        <v>78</v>
      </c>
      <c r="U522" s="19" t="s">
        <v>79</v>
      </c>
      <c r="V522" s="19" t="s">
        <v>54</v>
      </c>
      <c r="W522" s="19" t="s">
        <v>81</v>
      </c>
      <c r="X522" s="19"/>
      <c r="Y522" s="19"/>
      <c r="Z522" s="19"/>
      <c r="AA522" s="19"/>
      <c r="AB522" s="19"/>
      <c r="AC522" s="19" t="s">
        <v>103</v>
      </c>
      <c r="AD522" s="19"/>
      <c r="AE522" s="19"/>
      <c r="AF522" s="1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1:M1"/>
    <mergeCell ref="E2:M2"/>
    <mergeCell ref="E3:M3"/>
    <mergeCell ref="A4:F4"/>
    <mergeCell ref="G4:S4"/>
    <mergeCell ref="T4:W4"/>
    <mergeCell ref="X4:Y4"/>
    <mergeCell ref="Z4:AF4"/>
    <mergeCell ref="A6:A6"/>
    <mergeCell ref="B6:B6"/>
    <mergeCell ref="C6:C6"/>
    <mergeCell ref="F6:F6"/>
    <mergeCell ref="G6:G6"/>
    <mergeCell ref="H6:H6"/>
    <mergeCell ref="M6:M6"/>
    <mergeCell ref="N6:N6"/>
    <mergeCell ref="O6:O6"/>
    <mergeCell ref="P6:P6"/>
    <mergeCell ref="Q6:Q6"/>
    <mergeCell ref="R6:R6"/>
    <mergeCell ref="S6:S6"/>
    <mergeCell ref="X6:X6"/>
    <mergeCell ref="Y6:Y6"/>
    <mergeCell ref="Z6:Z6"/>
    <mergeCell ref="AA6:AA6"/>
    <mergeCell ref="AB6:AB6"/>
    <mergeCell ref="AC6:AC6"/>
    <mergeCell ref="AD6:AD6"/>
    <mergeCell ref="AE6:AE6"/>
    <mergeCell ref="AF6:AF6"/>
    <mergeCell ref="A7:A8"/>
    <mergeCell ref="B7:B8"/>
    <mergeCell ref="C7:C8"/>
    <mergeCell ref="F7:F8"/>
    <mergeCell ref="G7:G8"/>
    <mergeCell ref="H7:H8"/>
    <mergeCell ref="M7:M8"/>
    <mergeCell ref="N7:N8"/>
    <mergeCell ref="O7:O8"/>
    <mergeCell ref="P7:P8"/>
    <mergeCell ref="Q7:Q8"/>
    <mergeCell ref="R7:R8"/>
    <mergeCell ref="S7:S8"/>
    <mergeCell ref="X7:X8"/>
    <mergeCell ref="Y7:Y8"/>
    <mergeCell ref="Z7:Z8"/>
    <mergeCell ref="AA7:AA8"/>
    <mergeCell ref="AB7:AB8"/>
    <mergeCell ref="AC7:AC8"/>
    <mergeCell ref="AD7:AD8"/>
    <mergeCell ref="AE7:AE8"/>
    <mergeCell ref="AF7:AF8"/>
    <mergeCell ref="A9:A9"/>
    <mergeCell ref="B9:B9"/>
    <mergeCell ref="C9:C9"/>
    <mergeCell ref="F9:F9"/>
    <mergeCell ref="G9:G9"/>
    <mergeCell ref="H9:H9"/>
    <mergeCell ref="M9:M9"/>
    <mergeCell ref="N9:N9"/>
    <mergeCell ref="O9:O9"/>
    <mergeCell ref="P9:P9"/>
    <mergeCell ref="Q9:Q9"/>
    <mergeCell ref="R9:R9"/>
    <mergeCell ref="S9:S9"/>
    <mergeCell ref="X9:X9"/>
    <mergeCell ref="Y9:Y9"/>
    <mergeCell ref="Z9:Z9"/>
    <mergeCell ref="AA9:AA9"/>
    <mergeCell ref="AB9:AB9"/>
    <mergeCell ref="AC9:AC9"/>
    <mergeCell ref="AD9:AD9"/>
    <mergeCell ref="AE9:AE9"/>
    <mergeCell ref="AF9:AF9"/>
    <mergeCell ref="A10:A10"/>
    <mergeCell ref="B10:B10"/>
    <mergeCell ref="C10:C10"/>
    <mergeCell ref="F10:F10"/>
    <mergeCell ref="G10:G10"/>
    <mergeCell ref="H10:H10"/>
    <mergeCell ref="M10:M10"/>
    <mergeCell ref="N10:N10"/>
    <mergeCell ref="O10:O10"/>
    <mergeCell ref="P10:P10"/>
    <mergeCell ref="Q10:Q10"/>
    <mergeCell ref="R10:R10"/>
    <mergeCell ref="S10:S10"/>
    <mergeCell ref="X10:X10"/>
    <mergeCell ref="Y10:Y10"/>
    <mergeCell ref="Z10:Z10"/>
    <mergeCell ref="AA10:AA10"/>
    <mergeCell ref="AB10:AB10"/>
    <mergeCell ref="AC10:AC10"/>
    <mergeCell ref="AD10:AD10"/>
    <mergeCell ref="AE10:AE10"/>
    <mergeCell ref="AF10:AF10"/>
    <mergeCell ref="A11:A11"/>
    <mergeCell ref="B11:B11"/>
    <mergeCell ref="C11:C11"/>
    <mergeCell ref="F11:F11"/>
    <mergeCell ref="G11:G11"/>
    <mergeCell ref="H11:H11"/>
    <mergeCell ref="M11:M11"/>
    <mergeCell ref="N11:N11"/>
    <mergeCell ref="O11:O11"/>
    <mergeCell ref="P11:P11"/>
    <mergeCell ref="Q11:Q11"/>
    <mergeCell ref="R11:R11"/>
    <mergeCell ref="S11:S11"/>
    <mergeCell ref="X11:X11"/>
    <mergeCell ref="Y11:Y11"/>
    <mergeCell ref="Z11:Z11"/>
    <mergeCell ref="AA11:AA11"/>
    <mergeCell ref="AB11:AB11"/>
    <mergeCell ref="AC11:AC11"/>
    <mergeCell ref="AD11:AD11"/>
    <mergeCell ref="AE11:AE11"/>
    <mergeCell ref="AF11:AF11"/>
    <mergeCell ref="A12:A12"/>
    <mergeCell ref="B12:B12"/>
    <mergeCell ref="C12:C12"/>
    <mergeCell ref="F12:F12"/>
    <mergeCell ref="G12:G12"/>
    <mergeCell ref="H12:H12"/>
    <mergeCell ref="M12:M12"/>
    <mergeCell ref="N12:N12"/>
    <mergeCell ref="O12:O12"/>
    <mergeCell ref="P12:P12"/>
    <mergeCell ref="Q12:Q12"/>
    <mergeCell ref="R12:R12"/>
    <mergeCell ref="S12:S12"/>
    <mergeCell ref="X12:X12"/>
    <mergeCell ref="Y12:Y12"/>
    <mergeCell ref="Z12:Z12"/>
    <mergeCell ref="AA12:AA12"/>
    <mergeCell ref="AB12:AB12"/>
    <mergeCell ref="AC12:AC12"/>
    <mergeCell ref="AD12:AD12"/>
    <mergeCell ref="AE12:AE12"/>
    <mergeCell ref="AF12:AF12"/>
    <mergeCell ref="A13:A13"/>
    <mergeCell ref="B13:B13"/>
    <mergeCell ref="C13:C13"/>
    <mergeCell ref="F13:F13"/>
    <mergeCell ref="G13:G13"/>
    <mergeCell ref="H13:H13"/>
    <mergeCell ref="M13:M13"/>
    <mergeCell ref="N13:N13"/>
    <mergeCell ref="O13:O13"/>
    <mergeCell ref="P13:P13"/>
    <mergeCell ref="Q13:Q13"/>
    <mergeCell ref="R13:R13"/>
    <mergeCell ref="S13:S13"/>
    <mergeCell ref="X13:X13"/>
    <mergeCell ref="Y13:Y13"/>
    <mergeCell ref="Z13:Z13"/>
    <mergeCell ref="AA13:AA13"/>
    <mergeCell ref="AB13:AB13"/>
    <mergeCell ref="AC13:AC13"/>
    <mergeCell ref="AD13:AD13"/>
    <mergeCell ref="AE13:AE13"/>
    <mergeCell ref="AF13:AF13"/>
    <mergeCell ref="A14:A14"/>
    <mergeCell ref="B14:B14"/>
    <mergeCell ref="C14:C14"/>
    <mergeCell ref="F14:F14"/>
    <mergeCell ref="G14:G14"/>
    <mergeCell ref="H14:H14"/>
    <mergeCell ref="M14:M14"/>
    <mergeCell ref="N14:N14"/>
    <mergeCell ref="O14:O14"/>
    <mergeCell ref="P14:P14"/>
    <mergeCell ref="Q14:Q14"/>
    <mergeCell ref="R14:R14"/>
    <mergeCell ref="S14:S14"/>
    <mergeCell ref="X14:X14"/>
    <mergeCell ref="Y14:Y14"/>
    <mergeCell ref="Z14:Z14"/>
    <mergeCell ref="AA14:AA14"/>
    <mergeCell ref="AB14:AB14"/>
    <mergeCell ref="AC14:AC14"/>
    <mergeCell ref="AD14:AD14"/>
    <mergeCell ref="AE14:AE14"/>
    <mergeCell ref="AF14:AF14"/>
    <mergeCell ref="A15:A15"/>
    <mergeCell ref="B15:B15"/>
    <mergeCell ref="C15:C15"/>
    <mergeCell ref="F15:F15"/>
    <mergeCell ref="G15:G15"/>
    <mergeCell ref="H15:H15"/>
    <mergeCell ref="M15:M15"/>
    <mergeCell ref="N15:N15"/>
    <mergeCell ref="O15:O15"/>
    <mergeCell ref="P15:P15"/>
    <mergeCell ref="Q15:Q15"/>
    <mergeCell ref="R15:R15"/>
    <mergeCell ref="S15:S15"/>
    <mergeCell ref="X15:X15"/>
    <mergeCell ref="Y15:Y15"/>
    <mergeCell ref="Z15:Z15"/>
    <mergeCell ref="AA15:AA15"/>
    <mergeCell ref="AB15:AB15"/>
    <mergeCell ref="AC15:AC15"/>
    <mergeCell ref="AD15:AD15"/>
    <mergeCell ref="AE15:AE15"/>
    <mergeCell ref="AF15:AF15"/>
    <mergeCell ref="A16:A16"/>
    <mergeCell ref="B16:B16"/>
    <mergeCell ref="C16:C16"/>
    <mergeCell ref="F16:F16"/>
    <mergeCell ref="G16:G16"/>
    <mergeCell ref="H16:H16"/>
    <mergeCell ref="M16:M16"/>
    <mergeCell ref="N16:N16"/>
    <mergeCell ref="O16:O16"/>
    <mergeCell ref="P16:P16"/>
    <mergeCell ref="Q16:Q16"/>
    <mergeCell ref="R16:R16"/>
    <mergeCell ref="S16:S16"/>
    <mergeCell ref="X16:X16"/>
    <mergeCell ref="Y16:Y16"/>
    <mergeCell ref="Z16:Z16"/>
    <mergeCell ref="AA16:AA16"/>
    <mergeCell ref="AB16:AB16"/>
    <mergeCell ref="AC16:AC16"/>
    <mergeCell ref="AD16:AD16"/>
    <mergeCell ref="AE16:AE16"/>
    <mergeCell ref="AF16:AF16"/>
    <mergeCell ref="A17:A17"/>
    <mergeCell ref="B17:B17"/>
    <mergeCell ref="C17:C17"/>
    <mergeCell ref="F17:F17"/>
    <mergeCell ref="G17:G17"/>
    <mergeCell ref="H17:H17"/>
    <mergeCell ref="M17:M17"/>
    <mergeCell ref="N17:N17"/>
    <mergeCell ref="O17:O17"/>
    <mergeCell ref="P17:P17"/>
    <mergeCell ref="Q17:Q17"/>
    <mergeCell ref="R17:R17"/>
    <mergeCell ref="S17:S17"/>
    <mergeCell ref="X17:X17"/>
    <mergeCell ref="Y17:Y17"/>
    <mergeCell ref="Z17:Z17"/>
    <mergeCell ref="AA17:AA17"/>
    <mergeCell ref="AB17:AB17"/>
    <mergeCell ref="AC17:AC17"/>
    <mergeCell ref="AD17:AD17"/>
    <mergeCell ref="AE17:AE17"/>
    <mergeCell ref="AF17:AF17"/>
    <mergeCell ref="A18:A18"/>
    <mergeCell ref="B18:B18"/>
    <mergeCell ref="C18:C18"/>
    <mergeCell ref="F18:F18"/>
    <mergeCell ref="G18:G18"/>
    <mergeCell ref="H18:H18"/>
    <mergeCell ref="M18:M18"/>
    <mergeCell ref="N18:N18"/>
    <mergeCell ref="O18:O18"/>
    <mergeCell ref="P18:P18"/>
    <mergeCell ref="Q18:Q18"/>
    <mergeCell ref="R18:R18"/>
    <mergeCell ref="S18:S18"/>
    <mergeCell ref="X18:X18"/>
    <mergeCell ref="Y18:Y18"/>
    <mergeCell ref="Z18:Z18"/>
    <mergeCell ref="AA18:AA18"/>
    <mergeCell ref="AB18:AB18"/>
    <mergeCell ref="AC18:AC18"/>
    <mergeCell ref="AD18:AD18"/>
    <mergeCell ref="AE18:AE18"/>
    <mergeCell ref="AF18:AF18"/>
    <mergeCell ref="A19:A19"/>
    <mergeCell ref="B19:B19"/>
    <mergeCell ref="C19:C19"/>
    <mergeCell ref="F19:F19"/>
    <mergeCell ref="G19:G19"/>
    <mergeCell ref="H19:H19"/>
    <mergeCell ref="M19:M19"/>
    <mergeCell ref="N19:N19"/>
    <mergeCell ref="O19:O19"/>
    <mergeCell ref="P19:P19"/>
    <mergeCell ref="Q19:Q19"/>
    <mergeCell ref="R19:R19"/>
    <mergeCell ref="S19:S19"/>
    <mergeCell ref="X19:X19"/>
    <mergeCell ref="Y19:Y19"/>
    <mergeCell ref="Z19:Z19"/>
    <mergeCell ref="AA19:AA19"/>
    <mergeCell ref="AB19:AB19"/>
    <mergeCell ref="AC19:AC19"/>
    <mergeCell ref="AD19:AD19"/>
    <mergeCell ref="AE19:AE19"/>
    <mergeCell ref="AF19:AF19"/>
    <mergeCell ref="A20:A21"/>
    <mergeCell ref="B20:B21"/>
    <mergeCell ref="C20:C21"/>
    <mergeCell ref="F20:F21"/>
    <mergeCell ref="G20:G21"/>
    <mergeCell ref="H20:H21"/>
    <mergeCell ref="M20:M21"/>
    <mergeCell ref="N20:N21"/>
    <mergeCell ref="O20:O21"/>
    <mergeCell ref="P20:P21"/>
    <mergeCell ref="Q20:Q21"/>
    <mergeCell ref="R20:R21"/>
    <mergeCell ref="S20:S21"/>
    <mergeCell ref="X20:X21"/>
    <mergeCell ref="Y20:Y21"/>
    <mergeCell ref="Z20:Z21"/>
    <mergeCell ref="AA20:AA21"/>
    <mergeCell ref="AB20:AB21"/>
    <mergeCell ref="AC20:AC21"/>
    <mergeCell ref="AD20:AD21"/>
    <mergeCell ref="AE20:AE21"/>
    <mergeCell ref="AF20:AF21"/>
    <mergeCell ref="A22:A22"/>
    <mergeCell ref="B22:B22"/>
    <mergeCell ref="C22:C22"/>
    <mergeCell ref="F22:F22"/>
    <mergeCell ref="G22:G22"/>
    <mergeCell ref="H22:H22"/>
    <mergeCell ref="M22:M22"/>
    <mergeCell ref="N22:N22"/>
    <mergeCell ref="O22:O22"/>
    <mergeCell ref="P22:P22"/>
    <mergeCell ref="Q22:Q22"/>
    <mergeCell ref="R22:R22"/>
    <mergeCell ref="S22:S22"/>
    <mergeCell ref="X22:X22"/>
    <mergeCell ref="Y22:Y22"/>
    <mergeCell ref="Z22:Z22"/>
    <mergeCell ref="AA22:AA22"/>
    <mergeCell ref="AB22:AB22"/>
    <mergeCell ref="AC22:AC22"/>
    <mergeCell ref="AD22:AD22"/>
    <mergeCell ref="AE22:AE22"/>
    <mergeCell ref="AF22:AF22"/>
    <mergeCell ref="A23:A23"/>
    <mergeCell ref="B23:B23"/>
    <mergeCell ref="C23:C23"/>
    <mergeCell ref="F23:F23"/>
    <mergeCell ref="G23:G23"/>
    <mergeCell ref="H23:H23"/>
    <mergeCell ref="M23:M23"/>
    <mergeCell ref="N23:N23"/>
    <mergeCell ref="O23:O23"/>
    <mergeCell ref="P23:P23"/>
    <mergeCell ref="Q23:Q23"/>
    <mergeCell ref="R23:R23"/>
    <mergeCell ref="S23:S23"/>
    <mergeCell ref="X23:X23"/>
    <mergeCell ref="Y23:Y23"/>
    <mergeCell ref="Z23:Z23"/>
    <mergeCell ref="AA23:AA23"/>
    <mergeCell ref="AB23:AB23"/>
    <mergeCell ref="AC23:AC23"/>
    <mergeCell ref="AD23:AD23"/>
    <mergeCell ref="AE23:AE23"/>
    <mergeCell ref="AF23:AF23"/>
    <mergeCell ref="A24:A25"/>
    <mergeCell ref="B24:B25"/>
    <mergeCell ref="C24:C25"/>
    <mergeCell ref="F24:F25"/>
    <mergeCell ref="G24:G25"/>
    <mergeCell ref="H24:H25"/>
    <mergeCell ref="M24:M25"/>
    <mergeCell ref="N24:N25"/>
    <mergeCell ref="O24:O25"/>
    <mergeCell ref="P24:P25"/>
    <mergeCell ref="Q24:Q25"/>
    <mergeCell ref="R24:R25"/>
    <mergeCell ref="S24:S25"/>
    <mergeCell ref="X24:X25"/>
    <mergeCell ref="Y24:Y25"/>
    <mergeCell ref="Z24:Z25"/>
    <mergeCell ref="AA24:AA25"/>
    <mergeCell ref="AB24:AB25"/>
    <mergeCell ref="AC24:AC25"/>
    <mergeCell ref="AD24:AD25"/>
    <mergeCell ref="AE24:AE25"/>
    <mergeCell ref="AF24:AF25"/>
    <mergeCell ref="A26:A26"/>
    <mergeCell ref="B26:B26"/>
    <mergeCell ref="C26:C26"/>
    <mergeCell ref="F26:F26"/>
    <mergeCell ref="G26:G26"/>
    <mergeCell ref="H26:H26"/>
    <mergeCell ref="M26:M26"/>
    <mergeCell ref="N26:N26"/>
    <mergeCell ref="O26:O26"/>
    <mergeCell ref="P26:P26"/>
    <mergeCell ref="Q26:Q26"/>
    <mergeCell ref="R26:R26"/>
    <mergeCell ref="S26:S26"/>
    <mergeCell ref="X26:X26"/>
    <mergeCell ref="Y26:Y26"/>
    <mergeCell ref="Z26:Z26"/>
    <mergeCell ref="AA26:AA26"/>
    <mergeCell ref="AB26:AB26"/>
    <mergeCell ref="AC26:AC26"/>
    <mergeCell ref="AD26:AD26"/>
    <mergeCell ref="AE26:AE26"/>
    <mergeCell ref="AF26:AF26"/>
    <mergeCell ref="A27:A27"/>
    <mergeCell ref="B27:B27"/>
    <mergeCell ref="C27:C27"/>
    <mergeCell ref="F27:F27"/>
    <mergeCell ref="G27:G27"/>
    <mergeCell ref="H27:H27"/>
    <mergeCell ref="M27:M27"/>
    <mergeCell ref="N27:N27"/>
    <mergeCell ref="O27:O27"/>
    <mergeCell ref="P27:P27"/>
    <mergeCell ref="Q27:Q27"/>
    <mergeCell ref="R27:R27"/>
    <mergeCell ref="S27:S27"/>
    <mergeCell ref="X27:X27"/>
    <mergeCell ref="Y27:Y27"/>
    <mergeCell ref="Z27:Z27"/>
    <mergeCell ref="AA27:AA27"/>
    <mergeCell ref="AB27:AB27"/>
    <mergeCell ref="AC27:AC27"/>
    <mergeCell ref="AD27:AD27"/>
    <mergeCell ref="AE27:AE27"/>
    <mergeCell ref="AF27:AF27"/>
    <mergeCell ref="A28:A28"/>
    <mergeCell ref="B28:B28"/>
    <mergeCell ref="C28:C28"/>
    <mergeCell ref="F28:F28"/>
    <mergeCell ref="G28:G28"/>
    <mergeCell ref="H28:H28"/>
    <mergeCell ref="M28:M28"/>
    <mergeCell ref="N28:N28"/>
    <mergeCell ref="O28:O28"/>
    <mergeCell ref="P28:P28"/>
    <mergeCell ref="Q28:Q28"/>
    <mergeCell ref="R28:R28"/>
    <mergeCell ref="S28:S28"/>
    <mergeCell ref="X28:X28"/>
    <mergeCell ref="Y28:Y28"/>
    <mergeCell ref="Z28:Z28"/>
    <mergeCell ref="AA28:AA28"/>
    <mergeCell ref="AB28:AB28"/>
    <mergeCell ref="AC28:AC28"/>
    <mergeCell ref="AD28:AD28"/>
    <mergeCell ref="AE28:AE28"/>
    <mergeCell ref="AF28:AF28"/>
    <mergeCell ref="A29:A29"/>
    <mergeCell ref="B29:B29"/>
    <mergeCell ref="C29:C29"/>
    <mergeCell ref="F29:F29"/>
    <mergeCell ref="G29:G29"/>
    <mergeCell ref="H29:H29"/>
    <mergeCell ref="M29:M29"/>
    <mergeCell ref="N29:N29"/>
    <mergeCell ref="O29:O29"/>
    <mergeCell ref="P29:P29"/>
    <mergeCell ref="Q29:Q29"/>
    <mergeCell ref="R29:R29"/>
    <mergeCell ref="S29:S29"/>
    <mergeCell ref="X29:X29"/>
    <mergeCell ref="Y29:Y29"/>
    <mergeCell ref="Z29:Z29"/>
    <mergeCell ref="AA29:AA29"/>
    <mergeCell ref="AB29:AB29"/>
    <mergeCell ref="AC29:AC29"/>
    <mergeCell ref="AD29:AD29"/>
    <mergeCell ref="AE29:AE29"/>
    <mergeCell ref="AF29:AF29"/>
    <mergeCell ref="A30:A30"/>
    <mergeCell ref="B30:B30"/>
    <mergeCell ref="C30:C30"/>
    <mergeCell ref="F30:F30"/>
    <mergeCell ref="G30:G30"/>
    <mergeCell ref="H30:H30"/>
    <mergeCell ref="M30:M30"/>
    <mergeCell ref="N30:N30"/>
    <mergeCell ref="O30:O30"/>
    <mergeCell ref="P30:P30"/>
    <mergeCell ref="Q30:Q30"/>
    <mergeCell ref="R30:R30"/>
    <mergeCell ref="S30:S30"/>
    <mergeCell ref="X30:X30"/>
    <mergeCell ref="Y30:Y30"/>
    <mergeCell ref="Z30:Z30"/>
    <mergeCell ref="AA30:AA30"/>
    <mergeCell ref="AB30:AB30"/>
    <mergeCell ref="AC30:AC30"/>
    <mergeCell ref="AD30:AD30"/>
    <mergeCell ref="AE30:AE30"/>
    <mergeCell ref="AF30:AF30"/>
    <mergeCell ref="A31:A31"/>
    <mergeCell ref="B31:B31"/>
    <mergeCell ref="C31:C31"/>
    <mergeCell ref="F31:F31"/>
    <mergeCell ref="G31:G31"/>
    <mergeCell ref="H31:H31"/>
    <mergeCell ref="M31:M31"/>
    <mergeCell ref="N31:N31"/>
    <mergeCell ref="O31:O31"/>
    <mergeCell ref="P31:P31"/>
    <mergeCell ref="Q31:Q31"/>
    <mergeCell ref="R31:R31"/>
    <mergeCell ref="S31:S31"/>
    <mergeCell ref="X31:X31"/>
    <mergeCell ref="Y31:Y31"/>
    <mergeCell ref="Z31:Z31"/>
    <mergeCell ref="AA31:AA31"/>
    <mergeCell ref="AB31:AB31"/>
    <mergeCell ref="AC31:AC31"/>
    <mergeCell ref="AD31:AD31"/>
    <mergeCell ref="AE31:AE31"/>
    <mergeCell ref="AF31:AF31"/>
    <mergeCell ref="A32:A32"/>
    <mergeCell ref="B32:B32"/>
    <mergeCell ref="C32:C32"/>
    <mergeCell ref="F32:F32"/>
    <mergeCell ref="G32:G32"/>
    <mergeCell ref="H32:H32"/>
    <mergeCell ref="M32:M32"/>
    <mergeCell ref="N32:N32"/>
    <mergeCell ref="O32:O32"/>
    <mergeCell ref="P32:P32"/>
    <mergeCell ref="Q32:Q32"/>
    <mergeCell ref="R32:R32"/>
    <mergeCell ref="S32:S32"/>
    <mergeCell ref="X32:X32"/>
    <mergeCell ref="Y32:Y32"/>
    <mergeCell ref="Z32:Z32"/>
    <mergeCell ref="AA32:AA32"/>
    <mergeCell ref="AB32:AB32"/>
    <mergeCell ref="AC32:AC32"/>
    <mergeCell ref="AD32:AD32"/>
    <mergeCell ref="AE32:AE32"/>
    <mergeCell ref="AF32:AF32"/>
    <mergeCell ref="A33:A33"/>
    <mergeCell ref="B33:B33"/>
    <mergeCell ref="C33:C33"/>
    <mergeCell ref="F33:F33"/>
    <mergeCell ref="G33:G33"/>
    <mergeCell ref="H33:H33"/>
    <mergeCell ref="M33:M33"/>
    <mergeCell ref="N33:N33"/>
    <mergeCell ref="O33:O33"/>
    <mergeCell ref="P33:P33"/>
    <mergeCell ref="Q33:Q33"/>
    <mergeCell ref="R33:R33"/>
    <mergeCell ref="S33:S33"/>
    <mergeCell ref="X33:X33"/>
    <mergeCell ref="Y33:Y33"/>
    <mergeCell ref="Z33:Z33"/>
    <mergeCell ref="AA33:AA33"/>
    <mergeCell ref="AB33:AB33"/>
    <mergeCell ref="AC33:AC33"/>
    <mergeCell ref="AD33:AD33"/>
    <mergeCell ref="AE33:AE33"/>
    <mergeCell ref="AF33:AF33"/>
    <mergeCell ref="A34:A34"/>
    <mergeCell ref="B34:B34"/>
    <mergeCell ref="C34:C34"/>
    <mergeCell ref="F34:F34"/>
    <mergeCell ref="G34:G34"/>
    <mergeCell ref="H34:H34"/>
    <mergeCell ref="M34:M34"/>
    <mergeCell ref="N34:N34"/>
    <mergeCell ref="O34:O34"/>
    <mergeCell ref="P34:P34"/>
    <mergeCell ref="Q34:Q34"/>
    <mergeCell ref="R34:R34"/>
    <mergeCell ref="S34:S34"/>
    <mergeCell ref="X34:X34"/>
    <mergeCell ref="Y34:Y34"/>
    <mergeCell ref="Z34:Z34"/>
    <mergeCell ref="AA34:AA34"/>
    <mergeCell ref="AB34:AB34"/>
    <mergeCell ref="AC34:AC34"/>
    <mergeCell ref="AD34:AD34"/>
    <mergeCell ref="AE34:AE34"/>
    <mergeCell ref="AF34:AF34"/>
    <mergeCell ref="A35:A35"/>
    <mergeCell ref="B35:B35"/>
    <mergeCell ref="C35:C35"/>
    <mergeCell ref="F35:F35"/>
    <mergeCell ref="G35:G35"/>
    <mergeCell ref="H35:H35"/>
    <mergeCell ref="M35:M35"/>
    <mergeCell ref="N35:N35"/>
    <mergeCell ref="O35:O35"/>
    <mergeCell ref="P35:P35"/>
    <mergeCell ref="Q35:Q35"/>
    <mergeCell ref="R35:R35"/>
    <mergeCell ref="S35:S35"/>
    <mergeCell ref="X35:X35"/>
    <mergeCell ref="Y35:Y35"/>
    <mergeCell ref="Z35:Z35"/>
    <mergeCell ref="AA35:AA35"/>
    <mergeCell ref="AB35:AB35"/>
    <mergeCell ref="AC35:AC35"/>
    <mergeCell ref="AD35:AD35"/>
    <mergeCell ref="AE35:AE35"/>
    <mergeCell ref="AF35:AF35"/>
    <mergeCell ref="A36:A36"/>
    <mergeCell ref="B36:B36"/>
    <mergeCell ref="C36:C36"/>
    <mergeCell ref="F36:F36"/>
    <mergeCell ref="G36:G36"/>
    <mergeCell ref="H36:H36"/>
    <mergeCell ref="M36:M36"/>
    <mergeCell ref="N36:N36"/>
    <mergeCell ref="O36:O36"/>
    <mergeCell ref="P36:P36"/>
    <mergeCell ref="Q36:Q36"/>
    <mergeCell ref="R36:R36"/>
    <mergeCell ref="S36:S36"/>
    <mergeCell ref="X36:X36"/>
    <mergeCell ref="Y36:Y36"/>
    <mergeCell ref="Z36:Z36"/>
    <mergeCell ref="AA36:AA36"/>
    <mergeCell ref="AB36:AB36"/>
    <mergeCell ref="AC36:AC36"/>
    <mergeCell ref="AD36:AD36"/>
    <mergeCell ref="AE36:AE36"/>
    <mergeCell ref="AF36:AF36"/>
    <mergeCell ref="A37:A37"/>
    <mergeCell ref="B37:B37"/>
    <mergeCell ref="C37:C37"/>
    <mergeCell ref="F37:F37"/>
    <mergeCell ref="G37:G37"/>
    <mergeCell ref="H37:H37"/>
    <mergeCell ref="M37:M37"/>
    <mergeCell ref="N37:N37"/>
    <mergeCell ref="O37:O37"/>
    <mergeCell ref="P37:P37"/>
    <mergeCell ref="Q37:Q37"/>
    <mergeCell ref="R37:R37"/>
    <mergeCell ref="S37:S37"/>
    <mergeCell ref="X37:X37"/>
    <mergeCell ref="Y37:Y37"/>
    <mergeCell ref="Z37:Z37"/>
    <mergeCell ref="AA37:AA37"/>
    <mergeCell ref="AB37:AB37"/>
    <mergeCell ref="AC37:AC37"/>
    <mergeCell ref="AD37:AD37"/>
    <mergeCell ref="AE37:AE37"/>
    <mergeCell ref="AF37:AF37"/>
    <mergeCell ref="A38:A38"/>
    <mergeCell ref="B38:B38"/>
    <mergeCell ref="C38:C38"/>
    <mergeCell ref="F38:F38"/>
    <mergeCell ref="G38:G38"/>
    <mergeCell ref="H38:H38"/>
    <mergeCell ref="M38:M38"/>
    <mergeCell ref="N38:N38"/>
    <mergeCell ref="O38:O38"/>
    <mergeCell ref="P38:P38"/>
    <mergeCell ref="Q38:Q38"/>
    <mergeCell ref="R38:R38"/>
    <mergeCell ref="S38:S38"/>
    <mergeCell ref="X38:X38"/>
    <mergeCell ref="Y38:Y38"/>
    <mergeCell ref="Z38:Z38"/>
    <mergeCell ref="AA38:AA38"/>
    <mergeCell ref="AB38:AB38"/>
    <mergeCell ref="AC38:AC38"/>
    <mergeCell ref="AD38:AD38"/>
    <mergeCell ref="AE38:AE38"/>
    <mergeCell ref="AF38:AF38"/>
    <mergeCell ref="A39:A39"/>
    <mergeCell ref="B39:B39"/>
    <mergeCell ref="C39:C39"/>
    <mergeCell ref="F39:F39"/>
    <mergeCell ref="G39:G39"/>
    <mergeCell ref="H39:H39"/>
    <mergeCell ref="M39:M39"/>
    <mergeCell ref="N39:N39"/>
    <mergeCell ref="O39:O39"/>
    <mergeCell ref="P39:P39"/>
    <mergeCell ref="Q39:Q39"/>
    <mergeCell ref="R39:R39"/>
    <mergeCell ref="S39:S39"/>
    <mergeCell ref="X39:X39"/>
    <mergeCell ref="Y39:Y39"/>
    <mergeCell ref="Z39:Z39"/>
    <mergeCell ref="AA39:AA39"/>
    <mergeCell ref="AB39:AB39"/>
    <mergeCell ref="AC39:AC39"/>
    <mergeCell ref="AD39:AD39"/>
    <mergeCell ref="AE39:AE39"/>
    <mergeCell ref="AF39:AF39"/>
    <mergeCell ref="A40:A40"/>
    <mergeCell ref="B40:B40"/>
    <mergeCell ref="C40:C40"/>
    <mergeCell ref="F40:F40"/>
    <mergeCell ref="G40:G40"/>
    <mergeCell ref="H40:H40"/>
    <mergeCell ref="M40:M40"/>
    <mergeCell ref="N40:N40"/>
    <mergeCell ref="O40:O40"/>
    <mergeCell ref="P40:P40"/>
    <mergeCell ref="Q40:Q40"/>
    <mergeCell ref="R40:R40"/>
    <mergeCell ref="S40:S40"/>
    <mergeCell ref="X40:X40"/>
    <mergeCell ref="Y40:Y40"/>
    <mergeCell ref="Z40:Z40"/>
    <mergeCell ref="AA40:AA40"/>
    <mergeCell ref="AB40:AB40"/>
    <mergeCell ref="AC40:AC40"/>
    <mergeCell ref="AD40:AD40"/>
    <mergeCell ref="AE40:AE40"/>
    <mergeCell ref="AF40:AF40"/>
    <mergeCell ref="A41:A41"/>
    <mergeCell ref="B41:B41"/>
    <mergeCell ref="C41:C41"/>
    <mergeCell ref="F41:F41"/>
    <mergeCell ref="G41:G41"/>
    <mergeCell ref="H41:H41"/>
    <mergeCell ref="M41:M41"/>
    <mergeCell ref="N41:N41"/>
    <mergeCell ref="O41:O41"/>
    <mergeCell ref="P41:P41"/>
    <mergeCell ref="Q41:Q41"/>
    <mergeCell ref="R41:R41"/>
    <mergeCell ref="S41:S41"/>
    <mergeCell ref="X41:X41"/>
    <mergeCell ref="Y41:Y41"/>
    <mergeCell ref="Z41:Z41"/>
    <mergeCell ref="AA41:AA41"/>
    <mergeCell ref="AB41:AB41"/>
    <mergeCell ref="AC41:AC41"/>
    <mergeCell ref="AD41:AD41"/>
    <mergeCell ref="AE41:AE41"/>
    <mergeCell ref="AF41:AF41"/>
    <mergeCell ref="A42:A42"/>
    <mergeCell ref="B42:B42"/>
    <mergeCell ref="C42:C42"/>
    <mergeCell ref="F42:F42"/>
    <mergeCell ref="G42:G42"/>
    <mergeCell ref="H42:H42"/>
    <mergeCell ref="M42:M42"/>
    <mergeCell ref="N42:N42"/>
    <mergeCell ref="O42:O42"/>
    <mergeCell ref="P42:P42"/>
    <mergeCell ref="Q42:Q42"/>
    <mergeCell ref="R42:R42"/>
    <mergeCell ref="S42:S42"/>
    <mergeCell ref="X42:X42"/>
    <mergeCell ref="Y42:Y42"/>
    <mergeCell ref="Z42:Z42"/>
    <mergeCell ref="AA42:AA42"/>
    <mergeCell ref="AB42:AB42"/>
    <mergeCell ref="AC42:AC42"/>
    <mergeCell ref="AD42:AD42"/>
    <mergeCell ref="AE42:AE42"/>
    <mergeCell ref="AF42:AF42"/>
    <mergeCell ref="A43:A43"/>
    <mergeCell ref="B43:B43"/>
    <mergeCell ref="C43:C43"/>
    <mergeCell ref="F43:F43"/>
    <mergeCell ref="G43:G43"/>
    <mergeCell ref="H43:H43"/>
    <mergeCell ref="M43:M43"/>
    <mergeCell ref="N43:N43"/>
    <mergeCell ref="O43:O43"/>
    <mergeCell ref="P43:P43"/>
    <mergeCell ref="Q43:Q43"/>
    <mergeCell ref="R43:R43"/>
    <mergeCell ref="S43:S43"/>
    <mergeCell ref="X43:X43"/>
    <mergeCell ref="Y43:Y43"/>
    <mergeCell ref="Z43:Z43"/>
    <mergeCell ref="AA43:AA43"/>
    <mergeCell ref="AB43:AB43"/>
    <mergeCell ref="AC43:AC43"/>
    <mergeCell ref="AD43:AD43"/>
    <mergeCell ref="AE43:AE43"/>
    <mergeCell ref="AF43:AF43"/>
    <mergeCell ref="A44:A44"/>
    <mergeCell ref="B44:B44"/>
    <mergeCell ref="C44:C44"/>
    <mergeCell ref="F44:F44"/>
    <mergeCell ref="G44:G44"/>
    <mergeCell ref="H44:H44"/>
    <mergeCell ref="M44:M44"/>
    <mergeCell ref="N44:N44"/>
    <mergeCell ref="O44:O44"/>
    <mergeCell ref="P44:P44"/>
    <mergeCell ref="Q44:Q44"/>
    <mergeCell ref="R44:R44"/>
    <mergeCell ref="S44:S44"/>
    <mergeCell ref="X44:X44"/>
    <mergeCell ref="Y44:Y44"/>
    <mergeCell ref="Z44:Z44"/>
    <mergeCell ref="AA44:AA44"/>
    <mergeCell ref="AB44:AB44"/>
    <mergeCell ref="AC44:AC44"/>
    <mergeCell ref="AD44:AD44"/>
    <mergeCell ref="AE44:AE44"/>
    <mergeCell ref="AF44:AF44"/>
    <mergeCell ref="A45:A45"/>
    <mergeCell ref="B45:B45"/>
    <mergeCell ref="C45:C45"/>
    <mergeCell ref="F45:F45"/>
    <mergeCell ref="G45:G45"/>
    <mergeCell ref="H45:H45"/>
    <mergeCell ref="M45:M45"/>
    <mergeCell ref="N45:N45"/>
    <mergeCell ref="O45:O45"/>
    <mergeCell ref="P45:P45"/>
    <mergeCell ref="Q45:Q45"/>
    <mergeCell ref="R45:R45"/>
    <mergeCell ref="S45:S45"/>
    <mergeCell ref="X45:X45"/>
    <mergeCell ref="Y45:Y45"/>
    <mergeCell ref="Z45:Z45"/>
    <mergeCell ref="AA45:AA45"/>
    <mergeCell ref="AB45:AB45"/>
    <mergeCell ref="AC45:AC45"/>
    <mergeCell ref="AD45:AD45"/>
    <mergeCell ref="AE45:AE45"/>
    <mergeCell ref="AF45:AF45"/>
    <mergeCell ref="A46:A46"/>
    <mergeCell ref="B46:B46"/>
    <mergeCell ref="C46:C46"/>
    <mergeCell ref="F46:F46"/>
    <mergeCell ref="G46:G46"/>
    <mergeCell ref="H46:H46"/>
    <mergeCell ref="M46:M46"/>
    <mergeCell ref="N46:N46"/>
    <mergeCell ref="O46:O46"/>
    <mergeCell ref="P46:P46"/>
    <mergeCell ref="Q46:Q46"/>
    <mergeCell ref="R46:R46"/>
    <mergeCell ref="S46:S46"/>
    <mergeCell ref="X46:X46"/>
    <mergeCell ref="Y46:Y46"/>
    <mergeCell ref="Z46:Z46"/>
    <mergeCell ref="AA46:AA46"/>
    <mergeCell ref="AB46:AB46"/>
    <mergeCell ref="AC46:AC46"/>
    <mergeCell ref="AD46:AD46"/>
    <mergeCell ref="AE46:AE46"/>
    <mergeCell ref="AF46:AF46"/>
    <mergeCell ref="A47:A47"/>
    <mergeCell ref="B47:B47"/>
    <mergeCell ref="C47:C47"/>
    <mergeCell ref="F47:F47"/>
    <mergeCell ref="G47:G47"/>
    <mergeCell ref="H47:H47"/>
    <mergeCell ref="M47:M47"/>
    <mergeCell ref="N47:N47"/>
    <mergeCell ref="O47:O47"/>
    <mergeCell ref="P47:P47"/>
    <mergeCell ref="Q47:Q47"/>
    <mergeCell ref="R47:R47"/>
    <mergeCell ref="S47:S47"/>
    <mergeCell ref="X47:X47"/>
    <mergeCell ref="Y47:Y47"/>
    <mergeCell ref="Z47:Z47"/>
    <mergeCell ref="AA47:AA47"/>
    <mergeCell ref="AB47:AB47"/>
    <mergeCell ref="AC47:AC47"/>
    <mergeCell ref="AD47:AD47"/>
    <mergeCell ref="AE47:AE47"/>
    <mergeCell ref="AF47:AF47"/>
    <mergeCell ref="A48:A48"/>
    <mergeCell ref="B48:B48"/>
    <mergeCell ref="C48:C48"/>
    <mergeCell ref="F48:F48"/>
    <mergeCell ref="G48:G48"/>
    <mergeCell ref="H48:H48"/>
    <mergeCell ref="M48:M48"/>
    <mergeCell ref="N48:N48"/>
    <mergeCell ref="O48:O48"/>
    <mergeCell ref="P48:P48"/>
    <mergeCell ref="Q48:Q48"/>
    <mergeCell ref="R48:R48"/>
    <mergeCell ref="S48:S48"/>
    <mergeCell ref="X48:X48"/>
    <mergeCell ref="Y48:Y48"/>
    <mergeCell ref="Z48:Z48"/>
    <mergeCell ref="AA48:AA48"/>
    <mergeCell ref="AB48:AB48"/>
    <mergeCell ref="AC48:AC48"/>
    <mergeCell ref="AD48:AD48"/>
    <mergeCell ref="AE48:AE48"/>
    <mergeCell ref="AF48:AF48"/>
    <mergeCell ref="A49:A49"/>
    <mergeCell ref="B49:B49"/>
    <mergeCell ref="C49:C49"/>
    <mergeCell ref="F49:F49"/>
    <mergeCell ref="G49:G49"/>
    <mergeCell ref="H49:H49"/>
    <mergeCell ref="M49:M49"/>
    <mergeCell ref="N49:N49"/>
    <mergeCell ref="O49:O49"/>
    <mergeCell ref="P49:P49"/>
    <mergeCell ref="Q49:Q49"/>
    <mergeCell ref="R49:R49"/>
    <mergeCell ref="S49:S49"/>
    <mergeCell ref="X49:X49"/>
    <mergeCell ref="Y49:Y49"/>
    <mergeCell ref="Z49:Z49"/>
    <mergeCell ref="AA49:AA49"/>
    <mergeCell ref="AB49:AB49"/>
    <mergeCell ref="AC49:AC49"/>
    <mergeCell ref="AD49:AD49"/>
    <mergeCell ref="AE49:AE49"/>
    <mergeCell ref="AF49:AF49"/>
    <mergeCell ref="A50:A50"/>
    <mergeCell ref="B50:B50"/>
    <mergeCell ref="C50:C50"/>
    <mergeCell ref="F50:F50"/>
    <mergeCell ref="G50:G50"/>
    <mergeCell ref="H50:H50"/>
    <mergeCell ref="M50:M50"/>
    <mergeCell ref="N50:N50"/>
    <mergeCell ref="O50:O50"/>
    <mergeCell ref="P50:P50"/>
    <mergeCell ref="Q50:Q50"/>
    <mergeCell ref="R50:R50"/>
    <mergeCell ref="S50:S50"/>
    <mergeCell ref="X50:X50"/>
    <mergeCell ref="Y50:Y50"/>
    <mergeCell ref="Z50:Z50"/>
    <mergeCell ref="AA50:AA50"/>
    <mergeCell ref="AB50:AB50"/>
    <mergeCell ref="AC50:AC50"/>
    <mergeCell ref="AD50:AD50"/>
    <mergeCell ref="AE50:AE50"/>
    <mergeCell ref="AF50:AF50"/>
    <mergeCell ref="A51:A51"/>
    <mergeCell ref="B51:B51"/>
    <mergeCell ref="C51:C51"/>
    <mergeCell ref="F51:F51"/>
    <mergeCell ref="G51:G51"/>
    <mergeCell ref="H51:H51"/>
    <mergeCell ref="M51:M51"/>
    <mergeCell ref="N51:N51"/>
    <mergeCell ref="O51:O51"/>
    <mergeCell ref="P51:P51"/>
    <mergeCell ref="Q51:Q51"/>
    <mergeCell ref="R51:R51"/>
    <mergeCell ref="S51:S51"/>
    <mergeCell ref="X51:X51"/>
    <mergeCell ref="Y51:Y51"/>
    <mergeCell ref="Z51:Z51"/>
    <mergeCell ref="AA51:AA51"/>
    <mergeCell ref="AB51:AB51"/>
    <mergeCell ref="AC51:AC51"/>
    <mergeCell ref="AD51:AD51"/>
    <mergeCell ref="AE51:AE51"/>
    <mergeCell ref="AF51:AF51"/>
    <mergeCell ref="A52:A52"/>
    <mergeCell ref="B52:B52"/>
    <mergeCell ref="C52:C52"/>
    <mergeCell ref="F52:F52"/>
    <mergeCell ref="G52:G52"/>
    <mergeCell ref="H52:H52"/>
    <mergeCell ref="M52:M52"/>
    <mergeCell ref="N52:N52"/>
    <mergeCell ref="O52:O52"/>
    <mergeCell ref="P52:P52"/>
    <mergeCell ref="Q52:Q52"/>
    <mergeCell ref="R52:R52"/>
    <mergeCell ref="S52:S52"/>
    <mergeCell ref="X52:X52"/>
    <mergeCell ref="Y52:Y52"/>
    <mergeCell ref="Z52:Z52"/>
    <mergeCell ref="AA52:AA52"/>
    <mergeCell ref="AB52:AB52"/>
    <mergeCell ref="AC52:AC52"/>
    <mergeCell ref="AD52:AD52"/>
    <mergeCell ref="AE52:AE52"/>
    <mergeCell ref="AF52:AF52"/>
    <mergeCell ref="A53:A53"/>
    <mergeCell ref="B53:B53"/>
    <mergeCell ref="C53:C53"/>
    <mergeCell ref="F53:F53"/>
    <mergeCell ref="G53:G53"/>
    <mergeCell ref="H53:H53"/>
    <mergeCell ref="M53:M53"/>
    <mergeCell ref="N53:N53"/>
    <mergeCell ref="O53:O53"/>
    <mergeCell ref="P53:P53"/>
    <mergeCell ref="Q53:Q53"/>
    <mergeCell ref="R53:R53"/>
    <mergeCell ref="S53:S53"/>
    <mergeCell ref="X53:X53"/>
    <mergeCell ref="Y53:Y53"/>
    <mergeCell ref="Z53:Z53"/>
    <mergeCell ref="AA53:AA53"/>
    <mergeCell ref="AB53:AB53"/>
    <mergeCell ref="AC53:AC53"/>
    <mergeCell ref="AD53:AD53"/>
    <mergeCell ref="AE53:AE53"/>
    <mergeCell ref="AF53:AF53"/>
    <mergeCell ref="A54:A54"/>
    <mergeCell ref="B54:B54"/>
    <mergeCell ref="C54:C54"/>
    <mergeCell ref="F54:F54"/>
    <mergeCell ref="G54:G54"/>
    <mergeCell ref="H54:H54"/>
    <mergeCell ref="M54:M54"/>
    <mergeCell ref="N54:N54"/>
    <mergeCell ref="O54:O54"/>
    <mergeCell ref="P54:P54"/>
    <mergeCell ref="Q54:Q54"/>
    <mergeCell ref="R54:R54"/>
    <mergeCell ref="S54:S54"/>
    <mergeCell ref="X54:X54"/>
    <mergeCell ref="Y54:Y54"/>
    <mergeCell ref="Z54:Z54"/>
    <mergeCell ref="AA54:AA54"/>
    <mergeCell ref="AB54:AB54"/>
    <mergeCell ref="AC54:AC54"/>
    <mergeCell ref="AD54:AD54"/>
    <mergeCell ref="AE54:AE54"/>
    <mergeCell ref="AF54:AF54"/>
    <mergeCell ref="A55:A55"/>
    <mergeCell ref="B55:B55"/>
    <mergeCell ref="C55:C55"/>
    <mergeCell ref="F55:F55"/>
    <mergeCell ref="G55:G55"/>
    <mergeCell ref="H55:H55"/>
    <mergeCell ref="M55:M55"/>
    <mergeCell ref="N55:N55"/>
    <mergeCell ref="O55:O55"/>
    <mergeCell ref="P55:P55"/>
    <mergeCell ref="Q55:Q55"/>
    <mergeCell ref="R55:R55"/>
    <mergeCell ref="S55:S55"/>
    <mergeCell ref="X55:X55"/>
    <mergeCell ref="Y55:Y55"/>
    <mergeCell ref="Z55:Z55"/>
    <mergeCell ref="AA55:AA55"/>
    <mergeCell ref="AB55:AB55"/>
    <mergeCell ref="AC55:AC55"/>
    <mergeCell ref="AD55:AD55"/>
    <mergeCell ref="AE55:AE55"/>
    <mergeCell ref="AF55:AF55"/>
    <mergeCell ref="A56:A56"/>
    <mergeCell ref="B56:B56"/>
    <mergeCell ref="C56:C56"/>
    <mergeCell ref="F56:F56"/>
    <mergeCell ref="G56:G56"/>
    <mergeCell ref="H56:H56"/>
    <mergeCell ref="M56:M56"/>
    <mergeCell ref="N56:N56"/>
    <mergeCell ref="O56:O56"/>
    <mergeCell ref="P56:P56"/>
    <mergeCell ref="Q56:Q56"/>
    <mergeCell ref="R56:R56"/>
    <mergeCell ref="S56:S56"/>
    <mergeCell ref="X56:X56"/>
    <mergeCell ref="Y56:Y56"/>
    <mergeCell ref="Z56:Z56"/>
    <mergeCell ref="AA56:AA56"/>
    <mergeCell ref="AB56:AB56"/>
    <mergeCell ref="AC56:AC56"/>
    <mergeCell ref="AD56:AD56"/>
    <mergeCell ref="AE56:AE56"/>
    <mergeCell ref="AF56:AF56"/>
    <mergeCell ref="A57:A57"/>
    <mergeCell ref="B57:B57"/>
    <mergeCell ref="C57:C57"/>
    <mergeCell ref="F57:F57"/>
    <mergeCell ref="G57:G57"/>
    <mergeCell ref="H57:H57"/>
    <mergeCell ref="M57:M57"/>
    <mergeCell ref="N57:N57"/>
    <mergeCell ref="O57:O57"/>
    <mergeCell ref="P57:P57"/>
    <mergeCell ref="Q57:Q57"/>
    <mergeCell ref="R57:R57"/>
    <mergeCell ref="S57:S57"/>
    <mergeCell ref="X57:X57"/>
    <mergeCell ref="Y57:Y57"/>
    <mergeCell ref="Z57:Z57"/>
    <mergeCell ref="AA57:AA57"/>
    <mergeCell ref="AB57:AB57"/>
    <mergeCell ref="AC57:AC57"/>
    <mergeCell ref="AD57:AD57"/>
    <mergeCell ref="AE57:AE57"/>
    <mergeCell ref="AF57:AF57"/>
    <mergeCell ref="A58:A58"/>
    <mergeCell ref="B58:B58"/>
    <mergeCell ref="C58:C58"/>
    <mergeCell ref="F58:F58"/>
    <mergeCell ref="G58:G58"/>
    <mergeCell ref="H58:H58"/>
    <mergeCell ref="M58:M58"/>
    <mergeCell ref="N58:N58"/>
    <mergeCell ref="O58:O58"/>
    <mergeCell ref="P58:P58"/>
    <mergeCell ref="Q58:Q58"/>
    <mergeCell ref="R58:R58"/>
    <mergeCell ref="S58:S58"/>
    <mergeCell ref="X58:X58"/>
    <mergeCell ref="Y58:Y58"/>
    <mergeCell ref="Z58:Z58"/>
    <mergeCell ref="AA58:AA58"/>
    <mergeCell ref="AB58:AB58"/>
    <mergeCell ref="AC58:AC58"/>
    <mergeCell ref="AD58:AD58"/>
    <mergeCell ref="AE58:AE58"/>
    <mergeCell ref="AF58:AF58"/>
    <mergeCell ref="A59:A59"/>
    <mergeCell ref="B59:B59"/>
    <mergeCell ref="C59:C59"/>
    <mergeCell ref="F59:F59"/>
    <mergeCell ref="G59:G59"/>
    <mergeCell ref="H59:H59"/>
    <mergeCell ref="M59:M59"/>
    <mergeCell ref="N59:N59"/>
    <mergeCell ref="O59:O59"/>
    <mergeCell ref="P59:P59"/>
    <mergeCell ref="Q59:Q59"/>
    <mergeCell ref="R59:R59"/>
    <mergeCell ref="S59:S59"/>
    <mergeCell ref="X59:X59"/>
    <mergeCell ref="Y59:Y59"/>
    <mergeCell ref="Z59:Z59"/>
    <mergeCell ref="AA59:AA59"/>
    <mergeCell ref="AB59:AB59"/>
    <mergeCell ref="AC59:AC59"/>
    <mergeCell ref="AD59:AD59"/>
    <mergeCell ref="AE59:AE59"/>
    <mergeCell ref="AF59:AF59"/>
    <mergeCell ref="A60:A60"/>
    <mergeCell ref="B60:B60"/>
    <mergeCell ref="C60:C60"/>
    <mergeCell ref="F60:F60"/>
    <mergeCell ref="G60:G60"/>
    <mergeCell ref="H60:H60"/>
    <mergeCell ref="M60:M60"/>
    <mergeCell ref="N60:N60"/>
    <mergeCell ref="O60:O60"/>
    <mergeCell ref="P60:P60"/>
    <mergeCell ref="Q60:Q60"/>
    <mergeCell ref="R60:R60"/>
    <mergeCell ref="S60:S60"/>
    <mergeCell ref="X60:X60"/>
    <mergeCell ref="Y60:Y60"/>
    <mergeCell ref="Z60:Z60"/>
    <mergeCell ref="AA60:AA60"/>
    <mergeCell ref="AB60:AB60"/>
    <mergeCell ref="AC60:AC60"/>
    <mergeCell ref="AD60:AD60"/>
    <mergeCell ref="AE60:AE60"/>
    <mergeCell ref="AF60:AF60"/>
    <mergeCell ref="A61:A61"/>
    <mergeCell ref="B61:B61"/>
    <mergeCell ref="C61:C61"/>
    <mergeCell ref="F61:F61"/>
    <mergeCell ref="G61:G61"/>
    <mergeCell ref="H61:H61"/>
    <mergeCell ref="M61:M61"/>
    <mergeCell ref="N61:N61"/>
    <mergeCell ref="O61:O61"/>
    <mergeCell ref="P61:P61"/>
    <mergeCell ref="Q61:Q61"/>
    <mergeCell ref="R61:R61"/>
    <mergeCell ref="S61:S61"/>
    <mergeCell ref="X61:X61"/>
    <mergeCell ref="Y61:Y61"/>
    <mergeCell ref="Z61:Z61"/>
    <mergeCell ref="AA61:AA61"/>
    <mergeCell ref="AB61:AB61"/>
    <mergeCell ref="AC61:AC61"/>
    <mergeCell ref="AD61:AD61"/>
    <mergeCell ref="AE61:AE61"/>
    <mergeCell ref="AF61:AF61"/>
    <mergeCell ref="A62:A62"/>
    <mergeCell ref="B62:B62"/>
    <mergeCell ref="C62:C62"/>
    <mergeCell ref="F62:F62"/>
    <mergeCell ref="G62:G62"/>
    <mergeCell ref="H62:H62"/>
    <mergeCell ref="M62:M62"/>
    <mergeCell ref="N62:N62"/>
    <mergeCell ref="O62:O62"/>
    <mergeCell ref="P62:P62"/>
    <mergeCell ref="Q62:Q62"/>
    <mergeCell ref="R62:R62"/>
    <mergeCell ref="S62:S62"/>
    <mergeCell ref="X62:X62"/>
    <mergeCell ref="Y62:Y62"/>
    <mergeCell ref="Z62:Z62"/>
    <mergeCell ref="AA62:AA62"/>
    <mergeCell ref="AB62:AB62"/>
    <mergeCell ref="AC62:AC62"/>
    <mergeCell ref="AD62:AD62"/>
    <mergeCell ref="AE62:AE62"/>
    <mergeCell ref="AF62:AF62"/>
    <mergeCell ref="A63:A63"/>
    <mergeCell ref="B63:B63"/>
    <mergeCell ref="C63:C63"/>
    <mergeCell ref="F63:F63"/>
    <mergeCell ref="G63:G63"/>
    <mergeCell ref="H63:H63"/>
    <mergeCell ref="M63:M63"/>
    <mergeCell ref="N63:N63"/>
    <mergeCell ref="O63:O63"/>
    <mergeCell ref="P63:P63"/>
    <mergeCell ref="Q63:Q63"/>
    <mergeCell ref="R63:R63"/>
    <mergeCell ref="S63:S63"/>
    <mergeCell ref="X63:X63"/>
    <mergeCell ref="Y63:Y63"/>
    <mergeCell ref="Z63:Z63"/>
    <mergeCell ref="AA63:AA63"/>
    <mergeCell ref="AB63:AB63"/>
    <mergeCell ref="AC63:AC63"/>
    <mergeCell ref="AD63:AD63"/>
    <mergeCell ref="AE63:AE63"/>
    <mergeCell ref="AF63:AF63"/>
    <mergeCell ref="A64:A64"/>
    <mergeCell ref="B64:B64"/>
    <mergeCell ref="C64:C64"/>
    <mergeCell ref="F64:F64"/>
    <mergeCell ref="G64:G64"/>
    <mergeCell ref="H64:H64"/>
    <mergeCell ref="M64:M64"/>
    <mergeCell ref="N64:N64"/>
    <mergeCell ref="O64:O64"/>
    <mergeCell ref="P64:P64"/>
    <mergeCell ref="Q64:Q64"/>
    <mergeCell ref="R64:R64"/>
    <mergeCell ref="S64:S64"/>
    <mergeCell ref="X64:X64"/>
    <mergeCell ref="Y64:Y64"/>
    <mergeCell ref="Z64:Z64"/>
    <mergeCell ref="AA64:AA64"/>
    <mergeCell ref="AB64:AB64"/>
    <mergeCell ref="AC64:AC64"/>
    <mergeCell ref="AD64:AD64"/>
    <mergeCell ref="AE64:AE64"/>
    <mergeCell ref="AF64:AF64"/>
    <mergeCell ref="A65:A65"/>
    <mergeCell ref="B65:B65"/>
    <mergeCell ref="C65:C65"/>
    <mergeCell ref="F65:F65"/>
    <mergeCell ref="G65:G65"/>
    <mergeCell ref="H65:H65"/>
    <mergeCell ref="M65:M65"/>
    <mergeCell ref="N65:N65"/>
    <mergeCell ref="O65:O65"/>
    <mergeCell ref="P65:P65"/>
    <mergeCell ref="Q65:Q65"/>
    <mergeCell ref="R65:R65"/>
    <mergeCell ref="S65:S65"/>
    <mergeCell ref="X65:X65"/>
    <mergeCell ref="Y65:Y65"/>
    <mergeCell ref="Z65:Z65"/>
    <mergeCell ref="AA65:AA65"/>
    <mergeCell ref="AB65:AB65"/>
    <mergeCell ref="AC65:AC65"/>
    <mergeCell ref="AD65:AD65"/>
    <mergeCell ref="AE65:AE65"/>
    <mergeCell ref="AF65:AF65"/>
    <mergeCell ref="A66:A66"/>
    <mergeCell ref="B66:B66"/>
    <mergeCell ref="C66:C66"/>
    <mergeCell ref="F66:F66"/>
    <mergeCell ref="G66:G66"/>
    <mergeCell ref="H66:H66"/>
    <mergeCell ref="M66:M66"/>
    <mergeCell ref="N66:N66"/>
    <mergeCell ref="O66:O66"/>
    <mergeCell ref="P66:P66"/>
    <mergeCell ref="Q66:Q66"/>
    <mergeCell ref="R66:R66"/>
    <mergeCell ref="S66:S66"/>
    <mergeCell ref="X66:X66"/>
    <mergeCell ref="Y66:Y66"/>
    <mergeCell ref="Z66:Z66"/>
    <mergeCell ref="AA66:AA66"/>
    <mergeCell ref="AB66:AB66"/>
    <mergeCell ref="AC66:AC66"/>
    <mergeCell ref="AD66:AD66"/>
    <mergeCell ref="AE66:AE66"/>
    <mergeCell ref="AF66:AF66"/>
    <mergeCell ref="A67:A67"/>
    <mergeCell ref="B67:B67"/>
    <mergeCell ref="C67:C67"/>
    <mergeCell ref="F67:F67"/>
    <mergeCell ref="G67:G67"/>
    <mergeCell ref="H67:H67"/>
    <mergeCell ref="M67:M67"/>
    <mergeCell ref="N67:N67"/>
    <mergeCell ref="O67:O67"/>
    <mergeCell ref="P67:P67"/>
    <mergeCell ref="Q67:Q67"/>
    <mergeCell ref="R67:R67"/>
    <mergeCell ref="S67:S67"/>
    <mergeCell ref="X67:X67"/>
    <mergeCell ref="Y67:Y67"/>
    <mergeCell ref="Z67:Z67"/>
    <mergeCell ref="AA67:AA67"/>
    <mergeCell ref="AB67:AB67"/>
    <mergeCell ref="AC67:AC67"/>
    <mergeCell ref="AD67:AD67"/>
    <mergeCell ref="AE67:AE67"/>
    <mergeCell ref="AF67:AF67"/>
    <mergeCell ref="A68:A68"/>
    <mergeCell ref="B68:B68"/>
    <mergeCell ref="C68:C68"/>
    <mergeCell ref="F68:F68"/>
    <mergeCell ref="G68:G68"/>
    <mergeCell ref="H68:H68"/>
    <mergeCell ref="M68:M68"/>
    <mergeCell ref="N68:N68"/>
    <mergeCell ref="O68:O68"/>
    <mergeCell ref="P68:P68"/>
    <mergeCell ref="Q68:Q68"/>
    <mergeCell ref="R68:R68"/>
    <mergeCell ref="S68:S68"/>
    <mergeCell ref="X68:X68"/>
    <mergeCell ref="Y68:Y68"/>
    <mergeCell ref="Z68:Z68"/>
    <mergeCell ref="AA68:AA68"/>
    <mergeCell ref="AB68:AB68"/>
    <mergeCell ref="AC68:AC68"/>
    <mergeCell ref="AD68:AD68"/>
    <mergeCell ref="AE68:AE68"/>
    <mergeCell ref="AF68:AF68"/>
    <mergeCell ref="A69:A69"/>
    <mergeCell ref="B69:B69"/>
    <mergeCell ref="C69:C69"/>
    <mergeCell ref="F69:F69"/>
    <mergeCell ref="G69:G69"/>
    <mergeCell ref="H69:H69"/>
    <mergeCell ref="M69:M69"/>
    <mergeCell ref="N69:N69"/>
    <mergeCell ref="O69:O69"/>
    <mergeCell ref="P69:P69"/>
    <mergeCell ref="Q69:Q69"/>
    <mergeCell ref="R69:R69"/>
    <mergeCell ref="S69:S69"/>
    <mergeCell ref="X69:X69"/>
    <mergeCell ref="Y69:Y69"/>
    <mergeCell ref="Z69:Z69"/>
    <mergeCell ref="AA69:AA69"/>
    <mergeCell ref="AB69:AB69"/>
    <mergeCell ref="AC69:AC69"/>
    <mergeCell ref="AD69:AD69"/>
    <mergeCell ref="AE69:AE69"/>
    <mergeCell ref="AF69:AF69"/>
    <mergeCell ref="A70:A70"/>
    <mergeCell ref="B70:B70"/>
    <mergeCell ref="C70:C70"/>
    <mergeCell ref="F70:F70"/>
    <mergeCell ref="G70:G70"/>
    <mergeCell ref="H70:H70"/>
    <mergeCell ref="M70:M70"/>
    <mergeCell ref="N70:N70"/>
    <mergeCell ref="O70:O70"/>
    <mergeCell ref="P70:P70"/>
    <mergeCell ref="Q70:Q70"/>
    <mergeCell ref="R70:R70"/>
    <mergeCell ref="S70:S70"/>
    <mergeCell ref="X70:X70"/>
    <mergeCell ref="Y70:Y70"/>
    <mergeCell ref="Z70:Z70"/>
    <mergeCell ref="AA70:AA70"/>
    <mergeCell ref="AB70:AB70"/>
    <mergeCell ref="AC70:AC70"/>
    <mergeCell ref="AD70:AD70"/>
    <mergeCell ref="AE70:AE70"/>
    <mergeCell ref="AF70:AF70"/>
    <mergeCell ref="A71:A71"/>
    <mergeCell ref="B71:B71"/>
    <mergeCell ref="C71:C71"/>
    <mergeCell ref="F71:F71"/>
    <mergeCell ref="G71:G71"/>
    <mergeCell ref="H71:H71"/>
    <mergeCell ref="M71:M71"/>
    <mergeCell ref="N71:N71"/>
    <mergeCell ref="O71:O71"/>
    <mergeCell ref="P71:P71"/>
    <mergeCell ref="Q71:Q71"/>
    <mergeCell ref="R71:R71"/>
    <mergeCell ref="S71:S71"/>
    <mergeCell ref="X71:X71"/>
    <mergeCell ref="Y71:Y71"/>
    <mergeCell ref="Z71:Z71"/>
    <mergeCell ref="AA71:AA71"/>
    <mergeCell ref="AB71:AB71"/>
    <mergeCell ref="AC71:AC71"/>
    <mergeCell ref="AD71:AD71"/>
    <mergeCell ref="AE71:AE71"/>
    <mergeCell ref="AF71:AF71"/>
    <mergeCell ref="A72:A72"/>
    <mergeCell ref="B72:B72"/>
    <mergeCell ref="C72:C72"/>
    <mergeCell ref="F72:F72"/>
    <mergeCell ref="G72:G72"/>
    <mergeCell ref="H72:H72"/>
    <mergeCell ref="M72:M72"/>
    <mergeCell ref="N72:N72"/>
    <mergeCell ref="O72:O72"/>
    <mergeCell ref="P72:P72"/>
    <mergeCell ref="Q72:Q72"/>
    <mergeCell ref="R72:R72"/>
    <mergeCell ref="S72:S72"/>
    <mergeCell ref="X72:X72"/>
    <mergeCell ref="Y72:Y72"/>
    <mergeCell ref="Z72:Z72"/>
    <mergeCell ref="AA72:AA72"/>
    <mergeCell ref="AB72:AB72"/>
    <mergeCell ref="AC72:AC72"/>
    <mergeCell ref="AD72:AD72"/>
    <mergeCell ref="AE72:AE72"/>
    <mergeCell ref="AF72:AF72"/>
    <mergeCell ref="A73:A73"/>
    <mergeCell ref="B73:B73"/>
    <mergeCell ref="C73:C73"/>
    <mergeCell ref="F73:F73"/>
    <mergeCell ref="G73:G73"/>
    <mergeCell ref="H73:H73"/>
    <mergeCell ref="M73:M73"/>
    <mergeCell ref="N73:N73"/>
    <mergeCell ref="O73:O73"/>
    <mergeCell ref="P73:P73"/>
    <mergeCell ref="Q73:Q73"/>
    <mergeCell ref="R73:R73"/>
    <mergeCell ref="S73:S73"/>
    <mergeCell ref="X73:X73"/>
    <mergeCell ref="Y73:Y73"/>
    <mergeCell ref="Z73:Z73"/>
    <mergeCell ref="AA73:AA73"/>
    <mergeCell ref="AB73:AB73"/>
    <mergeCell ref="AC73:AC73"/>
    <mergeCell ref="AD73:AD73"/>
    <mergeCell ref="AE73:AE73"/>
    <mergeCell ref="AF73:AF73"/>
    <mergeCell ref="A74:A74"/>
    <mergeCell ref="B74:B74"/>
    <mergeCell ref="C74:C74"/>
    <mergeCell ref="F74:F74"/>
    <mergeCell ref="G74:G74"/>
    <mergeCell ref="H74:H74"/>
    <mergeCell ref="M74:M74"/>
    <mergeCell ref="N74:N74"/>
    <mergeCell ref="O74:O74"/>
    <mergeCell ref="P74:P74"/>
    <mergeCell ref="Q74:Q74"/>
    <mergeCell ref="R74:R74"/>
    <mergeCell ref="S74:S74"/>
    <mergeCell ref="X74:X74"/>
    <mergeCell ref="Y74:Y74"/>
    <mergeCell ref="Z74:Z74"/>
    <mergeCell ref="AA74:AA74"/>
    <mergeCell ref="AB74:AB74"/>
    <mergeCell ref="AC74:AC74"/>
    <mergeCell ref="AD74:AD74"/>
    <mergeCell ref="AE74:AE74"/>
    <mergeCell ref="AF74:AF74"/>
    <mergeCell ref="A75:A75"/>
    <mergeCell ref="B75:B75"/>
    <mergeCell ref="C75:C75"/>
    <mergeCell ref="F75:F75"/>
    <mergeCell ref="G75:G75"/>
    <mergeCell ref="H75:H75"/>
    <mergeCell ref="M75:M75"/>
    <mergeCell ref="N75:N75"/>
    <mergeCell ref="O75:O75"/>
    <mergeCell ref="P75:P75"/>
    <mergeCell ref="Q75:Q75"/>
    <mergeCell ref="R75:R75"/>
    <mergeCell ref="S75:S75"/>
    <mergeCell ref="X75:X75"/>
    <mergeCell ref="Y75:Y75"/>
    <mergeCell ref="Z75:Z75"/>
    <mergeCell ref="AA75:AA75"/>
    <mergeCell ref="AB75:AB75"/>
    <mergeCell ref="AC75:AC75"/>
    <mergeCell ref="AD75:AD75"/>
    <mergeCell ref="AE75:AE75"/>
    <mergeCell ref="AF75:AF75"/>
    <mergeCell ref="A76:A76"/>
    <mergeCell ref="B76:B76"/>
    <mergeCell ref="C76:C76"/>
    <mergeCell ref="F76:F76"/>
    <mergeCell ref="G76:G76"/>
    <mergeCell ref="H76:H76"/>
    <mergeCell ref="M76:M76"/>
    <mergeCell ref="N76:N76"/>
    <mergeCell ref="O76:O76"/>
    <mergeCell ref="P76:P76"/>
    <mergeCell ref="Q76:Q76"/>
    <mergeCell ref="R76:R76"/>
    <mergeCell ref="S76:S76"/>
    <mergeCell ref="X76:X76"/>
    <mergeCell ref="Y76:Y76"/>
    <mergeCell ref="Z76:Z76"/>
    <mergeCell ref="AA76:AA76"/>
    <mergeCell ref="AB76:AB76"/>
    <mergeCell ref="AC76:AC76"/>
    <mergeCell ref="AD76:AD76"/>
    <mergeCell ref="AE76:AE76"/>
    <mergeCell ref="AF76:AF76"/>
    <mergeCell ref="A77:A77"/>
    <mergeCell ref="B77:B77"/>
    <mergeCell ref="C77:C77"/>
    <mergeCell ref="F77:F77"/>
    <mergeCell ref="G77:G77"/>
    <mergeCell ref="H77:H77"/>
    <mergeCell ref="M77:M77"/>
    <mergeCell ref="N77:N77"/>
    <mergeCell ref="O77:O77"/>
    <mergeCell ref="P77:P77"/>
    <mergeCell ref="Q77:Q77"/>
    <mergeCell ref="R77:R77"/>
    <mergeCell ref="S77:S77"/>
    <mergeCell ref="X77:X77"/>
    <mergeCell ref="Y77:Y77"/>
    <mergeCell ref="Z77:Z77"/>
    <mergeCell ref="AA77:AA77"/>
    <mergeCell ref="AB77:AB77"/>
    <mergeCell ref="AC77:AC77"/>
    <mergeCell ref="AD77:AD77"/>
    <mergeCell ref="AE77:AE77"/>
    <mergeCell ref="AF77:AF77"/>
    <mergeCell ref="A78:A78"/>
    <mergeCell ref="B78:B78"/>
    <mergeCell ref="C78:C78"/>
    <mergeCell ref="F78:F78"/>
    <mergeCell ref="G78:G78"/>
    <mergeCell ref="H78:H78"/>
    <mergeCell ref="M78:M78"/>
    <mergeCell ref="N78:N78"/>
    <mergeCell ref="O78:O78"/>
    <mergeCell ref="P78:P78"/>
    <mergeCell ref="Q78:Q78"/>
    <mergeCell ref="R78:R78"/>
    <mergeCell ref="S78:S78"/>
    <mergeCell ref="X78:X78"/>
    <mergeCell ref="Y78:Y78"/>
    <mergeCell ref="Z78:Z78"/>
    <mergeCell ref="AA78:AA78"/>
    <mergeCell ref="AB78:AB78"/>
    <mergeCell ref="AC78:AC78"/>
    <mergeCell ref="AD78:AD78"/>
    <mergeCell ref="AE78:AE78"/>
    <mergeCell ref="AF78:AF78"/>
    <mergeCell ref="A79:A79"/>
    <mergeCell ref="B79:B79"/>
    <mergeCell ref="C79:C79"/>
    <mergeCell ref="F79:F79"/>
    <mergeCell ref="G79:G79"/>
    <mergeCell ref="H79:H79"/>
    <mergeCell ref="M79:M79"/>
    <mergeCell ref="N79:N79"/>
    <mergeCell ref="O79:O79"/>
    <mergeCell ref="P79:P79"/>
    <mergeCell ref="Q79:Q79"/>
    <mergeCell ref="R79:R79"/>
    <mergeCell ref="S79:S79"/>
    <mergeCell ref="X79:X79"/>
    <mergeCell ref="Y79:Y79"/>
    <mergeCell ref="Z79:Z79"/>
    <mergeCell ref="AA79:AA79"/>
    <mergeCell ref="AB79:AB79"/>
    <mergeCell ref="AC79:AC79"/>
    <mergeCell ref="AD79:AD79"/>
    <mergeCell ref="AE79:AE79"/>
    <mergeCell ref="AF79:AF79"/>
    <mergeCell ref="A80:A80"/>
    <mergeCell ref="B80:B80"/>
    <mergeCell ref="C80:C80"/>
    <mergeCell ref="F80:F80"/>
    <mergeCell ref="G80:G80"/>
    <mergeCell ref="H80:H80"/>
    <mergeCell ref="M80:M80"/>
    <mergeCell ref="N80:N80"/>
    <mergeCell ref="O80:O80"/>
    <mergeCell ref="P80:P80"/>
    <mergeCell ref="Q80:Q80"/>
    <mergeCell ref="R80:R80"/>
    <mergeCell ref="S80:S80"/>
    <mergeCell ref="X80:X80"/>
    <mergeCell ref="Y80:Y80"/>
    <mergeCell ref="Z80:Z80"/>
    <mergeCell ref="AA80:AA80"/>
    <mergeCell ref="AB80:AB80"/>
    <mergeCell ref="AC80:AC80"/>
    <mergeCell ref="AD80:AD80"/>
    <mergeCell ref="AE80:AE80"/>
    <mergeCell ref="AF80:AF80"/>
    <mergeCell ref="A81:A81"/>
    <mergeCell ref="B81:B81"/>
    <mergeCell ref="C81:C81"/>
    <mergeCell ref="F81:F81"/>
    <mergeCell ref="G81:G81"/>
    <mergeCell ref="H81:H81"/>
    <mergeCell ref="M81:M81"/>
    <mergeCell ref="N81:N81"/>
    <mergeCell ref="O81:O81"/>
    <mergeCell ref="P81:P81"/>
    <mergeCell ref="Q81:Q81"/>
    <mergeCell ref="R81:R81"/>
    <mergeCell ref="S81:S81"/>
    <mergeCell ref="X81:X81"/>
    <mergeCell ref="Y81:Y81"/>
    <mergeCell ref="Z81:Z81"/>
    <mergeCell ref="AA81:AA81"/>
    <mergeCell ref="AB81:AB81"/>
    <mergeCell ref="AC81:AC81"/>
    <mergeCell ref="AD81:AD81"/>
    <mergeCell ref="AE81:AE81"/>
    <mergeCell ref="AF81:AF81"/>
    <mergeCell ref="A82:A82"/>
    <mergeCell ref="B82:B82"/>
    <mergeCell ref="C82:C82"/>
    <mergeCell ref="F82:F82"/>
    <mergeCell ref="G82:G82"/>
    <mergeCell ref="H82:H82"/>
    <mergeCell ref="M82:M82"/>
    <mergeCell ref="N82:N82"/>
    <mergeCell ref="O82:O82"/>
    <mergeCell ref="P82:P82"/>
    <mergeCell ref="Q82:Q82"/>
    <mergeCell ref="R82:R82"/>
    <mergeCell ref="S82:S82"/>
    <mergeCell ref="X82:X82"/>
    <mergeCell ref="Y82:Y82"/>
    <mergeCell ref="Z82:Z82"/>
    <mergeCell ref="AA82:AA82"/>
    <mergeCell ref="AB82:AB82"/>
    <mergeCell ref="AC82:AC82"/>
    <mergeCell ref="AD82:AD82"/>
    <mergeCell ref="AE82:AE82"/>
    <mergeCell ref="AF82:AF82"/>
    <mergeCell ref="A83:A83"/>
    <mergeCell ref="B83:B83"/>
    <mergeCell ref="C83:C83"/>
    <mergeCell ref="F83:F83"/>
    <mergeCell ref="G83:G83"/>
    <mergeCell ref="H83:H83"/>
    <mergeCell ref="M83:M83"/>
    <mergeCell ref="N83:N83"/>
    <mergeCell ref="O83:O83"/>
    <mergeCell ref="P83:P83"/>
    <mergeCell ref="Q83:Q83"/>
    <mergeCell ref="R83:R83"/>
    <mergeCell ref="S83:S83"/>
    <mergeCell ref="X83:X83"/>
    <mergeCell ref="Y83:Y83"/>
    <mergeCell ref="Z83:Z83"/>
    <mergeCell ref="AA83:AA83"/>
    <mergeCell ref="AB83:AB83"/>
    <mergeCell ref="AC83:AC83"/>
    <mergeCell ref="AD83:AD83"/>
    <mergeCell ref="AE83:AE83"/>
    <mergeCell ref="AF83:AF83"/>
    <mergeCell ref="A84:A84"/>
    <mergeCell ref="B84:B84"/>
    <mergeCell ref="C84:C84"/>
    <mergeCell ref="F84:F84"/>
    <mergeCell ref="G84:G84"/>
    <mergeCell ref="H84:H84"/>
    <mergeCell ref="M84:M84"/>
    <mergeCell ref="N84:N84"/>
    <mergeCell ref="O84:O84"/>
    <mergeCell ref="P84:P84"/>
    <mergeCell ref="Q84:Q84"/>
    <mergeCell ref="R84:R84"/>
    <mergeCell ref="S84:S84"/>
    <mergeCell ref="X84:X84"/>
    <mergeCell ref="Y84:Y84"/>
    <mergeCell ref="Z84:Z84"/>
    <mergeCell ref="AA84:AA84"/>
    <mergeCell ref="AB84:AB84"/>
    <mergeCell ref="AC84:AC84"/>
    <mergeCell ref="AD84:AD84"/>
    <mergeCell ref="AE84:AE84"/>
    <mergeCell ref="AF84:AF84"/>
    <mergeCell ref="A85:A85"/>
    <mergeCell ref="B85:B85"/>
    <mergeCell ref="C85:C85"/>
    <mergeCell ref="F85:F85"/>
    <mergeCell ref="G85:G85"/>
    <mergeCell ref="H85:H85"/>
    <mergeCell ref="M85:M85"/>
    <mergeCell ref="N85:N85"/>
    <mergeCell ref="O85:O85"/>
    <mergeCell ref="P85:P85"/>
    <mergeCell ref="Q85:Q85"/>
    <mergeCell ref="R85:R85"/>
    <mergeCell ref="S85:S85"/>
    <mergeCell ref="X85:X85"/>
    <mergeCell ref="Y85:Y85"/>
    <mergeCell ref="Z85:Z85"/>
    <mergeCell ref="AA85:AA85"/>
    <mergeCell ref="AB85:AB85"/>
    <mergeCell ref="AC85:AC85"/>
    <mergeCell ref="AD85:AD85"/>
    <mergeCell ref="AE85:AE85"/>
    <mergeCell ref="AF85:AF85"/>
    <mergeCell ref="A86:A86"/>
    <mergeCell ref="B86:B86"/>
    <mergeCell ref="C86:C86"/>
    <mergeCell ref="F86:F86"/>
    <mergeCell ref="G86:G86"/>
    <mergeCell ref="H86:H86"/>
    <mergeCell ref="M86:M86"/>
    <mergeCell ref="N86:N86"/>
    <mergeCell ref="O86:O86"/>
    <mergeCell ref="P86:P86"/>
    <mergeCell ref="Q86:Q86"/>
    <mergeCell ref="R86:R86"/>
    <mergeCell ref="S86:S86"/>
    <mergeCell ref="X86:X86"/>
    <mergeCell ref="Y86:Y86"/>
    <mergeCell ref="Z86:Z86"/>
    <mergeCell ref="AA86:AA86"/>
    <mergeCell ref="AB86:AB86"/>
    <mergeCell ref="AC86:AC86"/>
    <mergeCell ref="AD86:AD86"/>
    <mergeCell ref="AE86:AE86"/>
    <mergeCell ref="AF86:AF86"/>
    <mergeCell ref="A87:A87"/>
    <mergeCell ref="B87:B87"/>
    <mergeCell ref="C87:C87"/>
    <mergeCell ref="F87:F87"/>
    <mergeCell ref="G87:G87"/>
    <mergeCell ref="H87:H87"/>
    <mergeCell ref="M87:M87"/>
    <mergeCell ref="N87:N87"/>
    <mergeCell ref="O87:O87"/>
    <mergeCell ref="P87:P87"/>
    <mergeCell ref="Q87:Q87"/>
    <mergeCell ref="R87:R87"/>
    <mergeCell ref="S87:S87"/>
    <mergeCell ref="X87:X87"/>
    <mergeCell ref="Y87:Y87"/>
    <mergeCell ref="Z87:Z87"/>
    <mergeCell ref="AA87:AA87"/>
    <mergeCell ref="AB87:AB87"/>
    <mergeCell ref="AC87:AC87"/>
    <mergeCell ref="AD87:AD87"/>
    <mergeCell ref="AE87:AE87"/>
    <mergeCell ref="AF87:AF87"/>
    <mergeCell ref="A88:A88"/>
    <mergeCell ref="B88:B88"/>
    <mergeCell ref="C88:C88"/>
    <mergeCell ref="F88:F88"/>
    <mergeCell ref="G88:G88"/>
    <mergeCell ref="H88:H88"/>
    <mergeCell ref="M88:M88"/>
    <mergeCell ref="N88:N88"/>
    <mergeCell ref="O88:O88"/>
    <mergeCell ref="P88:P88"/>
    <mergeCell ref="Q88:Q88"/>
    <mergeCell ref="R88:R88"/>
    <mergeCell ref="S88:S88"/>
    <mergeCell ref="X88:X88"/>
    <mergeCell ref="Y88:Y88"/>
    <mergeCell ref="Z88:Z88"/>
    <mergeCell ref="AA88:AA88"/>
    <mergeCell ref="AB88:AB88"/>
    <mergeCell ref="AC88:AC88"/>
    <mergeCell ref="AD88:AD88"/>
    <mergeCell ref="AE88:AE88"/>
    <mergeCell ref="AF88:AF88"/>
    <mergeCell ref="A89:A89"/>
    <mergeCell ref="B89:B89"/>
    <mergeCell ref="C89:C89"/>
    <mergeCell ref="F89:F89"/>
    <mergeCell ref="G89:G89"/>
    <mergeCell ref="H89:H89"/>
    <mergeCell ref="M89:M89"/>
    <mergeCell ref="N89:N89"/>
    <mergeCell ref="O89:O89"/>
    <mergeCell ref="P89:P89"/>
    <mergeCell ref="Q89:Q89"/>
    <mergeCell ref="R89:R89"/>
    <mergeCell ref="S89:S89"/>
    <mergeCell ref="X89:X89"/>
    <mergeCell ref="Y89:Y89"/>
    <mergeCell ref="Z89:Z89"/>
    <mergeCell ref="AA89:AA89"/>
    <mergeCell ref="AB89:AB89"/>
    <mergeCell ref="AC89:AC89"/>
    <mergeCell ref="AD89:AD89"/>
    <mergeCell ref="AE89:AE89"/>
    <mergeCell ref="AF89:AF89"/>
    <mergeCell ref="A90:A90"/>
    <mergeCell ref="B90:B90"/>
    <mergeCell ref="C90:C90"/>
    <mergeCell ref="F90:F90"/>
    <mergeCell ref="G90:G90"/>
    <mergeCell ref="H90:H90"/>
    <mergeCell ref="M90:M90"/>
    <mergeCell ref="N90:N90"/>
    <mergeCell ref="O90:O90"/>
    <mergeCell ref="P90:P90"/>
    <mergeCell ref="Q90:Q90"/>
    <mergeCell ref="R90:R90"/>
    <mergeCell ref="S90:S90"/>
    <mergeCell ref="X90:X90"/>
    <mergeCell ref="Y90:Y90"/>
    <mergeCell ref="Z90:Z90"/>
    <mergeCell ref="AA90:AA90"/>
    <mergeCell ref="AB90:AB90"/>
    <mergeCell ref="AC90:AC90"/>
    <mergeCell ref="AD90:AD90"/>
    <mergeCell ref="AE90:AE90"/>
    <mergeCell ref="AF90:AF90"/>
    <mergeCell ref="A91:A91"/>
    <mergeCell ref="B91:B91"/>
    <mergeCell ref="C91:C91"/>
    <mergeCell ref="F91:F91"/>
    <mergeCell ref="G91:G91"/>
    <mergeCell ref="H91:H91"/>
    <mergeCell ref="M91:M91"/>
    <mergeCell ref="N91:N91"/>
    <mergeCell ref="O91:O91"/>
    <mergeCell ref="P91:P91"/>
    <mergeCell ref="Q91:Q91"/>
    <mergeCell ref="R91:R91"/>
    <mergeCell ref="S91:S91"/>
    <mergeCell ref="X91:X91"/>
    <mergeCell ref="Y91:Y91"/>
    <mergeCell ref="Z91:Z91"/>
    <mergeCell ref="AA91:AA91"/>
    <mergeCell ref="AB91:AB91"/>
    <mergeCell ref="AC91:AC91"/>
    <mergeCell ref="AD91:AD91"/>
    <mergeCell ref="AE91:AE91"/>
    <mergeCell ref="AF91:AF91"/>
    <mergeCell ref="A92:A92"/>
    <mergeCell ref="B92:B92"/>
    <mergeCell ref="C92:C92"/>
    <mergeCell ref="F92:F92"/>
    <mergeCell ref="G92:G92"/>
    <mergeCell ref="H92:H92"/>
    <mergeCell ref="M92:M92"/>
    <mergeCell ref="N92:N92"/>
    <mergeCell ref="O92:O92"/>
    <mergeCell ref="P92:P92"/>
    <mergeCell ref="Q92:Q92"/>
    <mergeCell ref="R92:R92"/>
    <mergeCell ref="S92:S92"/>
    <mergeCell ref="X92:X92"/>
    <mergeCell ref="Y92:Y92"/>
    <mergeCell ref="Z92:Z92"/>
    <mergeCell ref="AA92:AA92"/>
    <mergeCell ref="AB92:AB92"/>
    <mergeCell ref="AC92:AC92"/>
    <mergeCell ref="AD92:AD92"/>
    <mergeCell ref="AE92:AE92"/>
    <mergeCell ref="AF92:AF92"/>
    <mergeCell ref="A93:A93"/>
    <mergeCell ref="B93:B93"/>
    <mergeCell ref="C93:C93"/>
    <mergeCell ref="F93:F93"/>
    <mergeCell ref="G93:G93"/>
    <mergeCell ref="H93:H93"/>
    <mergeCell ref="M93:M93"/>
    <mergeCell ref="N93:N93"/>
    <mergeCell ref="O93:O93"/>
    <mergeCell ref="P93:P93"/>
    <mergeCell ref="Q93:Q93"/>
    <mergeCell ref="R93:R93"/>
    <mergeCell ref="S93:S93"/>
    <mergeCell ref="X93:X93"/>
    <mergeCell ref="Y93:Y93"/>
    <mergeCell ref="Z93:Z93"/>
    <mergeCell ref="AA93:AA93"/>
    <mergeCell ref="AB93:AB93"/>
    <mergeCell ref="AC93:AC93"/>
    <mergeCell ref="AD93:AD93"/>
    <mergeCell ref="AE93:AE93"/>
    <mergeCell ref="AF93:AF93"/>
    <mergeCell ref="A94:A94"/>
    <mergeCell ref="B94:B94"/>
    <mergeCell ref="C94:C94"/>
    <mergeCell ref="F94:F94"/>
    <mergeCell ref="G94:G94"/>
    <mergeCell ref="H94:H94"/>
    <mergeCell ref="M94:M94"/>
    <mergeCell ref="N94:N94"/>
    <mergeCell ref="O94:O94"/>
    <mergeCell ref="P94:P94"/>
    <mergeCell ref="Q94:Q94"/>
    <mergeCell ref="R94:R94"/>
    <mergeCell ref="S94:S94"/>
    <mergeCell ref="X94:X94"/>
    <mergeCell ref="Y94:Y94"/>
    <mergeCell ref="Z94:Z94"/>
    <mergeCell ref="AA94:AA94"/>
    <mergeCell ref="AB94:AB94"/>
    <mergeCell ref="AC94:AC94"/>
    <mergeCell ref="AD94:AD94"/>
    <mergeCell ref="AE94:AE94"/>
    <mergeCell ref="AF94:AF94"/>
    <mergeCell ref="A95:A95"/>
    <mergeCell ref="B95:B95"/>
    <mergeCell ref="C95:C95"/>
    <mergeCell ref="F95:F95"/>
    <mergeCell ref="G95:G95"/>
    <mergeCell ref="H95:H95"/>
    <mergeCell ref="M95:M95"/>
    <mergeCell ref="N95:N95"/>
    <mergeCell ref="O95:O95"/>
    <mergeCell ref="P95:P95"/>
    <mergeCell ref="Q95:Q95"/>
    <mergeCell ref="R95:R95"/>
    <mergeCell ref="S95:S95"/>
    <mergeCell ref="X95:X95"/>
    <mergeCell ref="Y95:Y95"/>
    <mergeCell ref="Z95:Z95"/>
    <mergeCell ref="AA95:AA95"/>
    <mergeCell ref="AB95:AB95"/>
    <mergeCell ref="AC95:AC95"/>
    <mergeCell ref="AD95:AD95"/>
    <mergeCell ref="AE95:AE95"/>
    <mergeCell ref="AF95:AF95"/>
    <mergeCell ref="A96:A96"/>
    <mergeCell ref="B96:B96"/>
    <mergeCell ref="C96:C96"/>
    <mergeCell ref="F96:F96"/>
    <mergeCell ref="G96:G96"/>
    <mergeCell ref="H96:H96"/>
    <mergeCell ref="M96:M96"/>
    <mergeCell ref="N96:N96"/>
    <mergeCell ref="O96:O96"/>
    <mergeCell ref="P96:P96"/>
    <mergeCell ref="Q96:Q96"/>
    <mergeCell ref="R96:R96"/>
    <mergeCell ref="S96:S96"/>
    <mergeCell ref="X96:X96"/>
    <mergeCell ref="Y96:Y96"/>
    <mergeCell ref="Z96:Z96"/>
    <mergeCell ref="AA96:AA96"/>
    <mergeCell ref="AB96:AB96"/>
    <mergeCell ref="AC96:AC96"/>
    <mergeCell ref="AD96:AD96"/>
    <mergeCell ref="AE96:AE96"/>
    <mergeCell ref="AF96:AF96"/>
    <mergeCell ref="A97:A97"/>
    <mergeCell ref="B97:B97"/>
    <mergeCell ref="C97:C97"/>
    <mergeCell ref="F97:F97"/>
    <mergeCell ref="G97:G97"/>
    <mergeCell ref="H97:H97"/>
    <mergeCell ref="M97:M97"/>
    <mergeCell ref="N97:N97"/>
    <mergeCell ref="O97:O97"/>
    <mergeCell ref="P97:P97"/>
    <mergeCell ref="Q97:Q97"/>
    <mergeCell ref="R97:R97"/>
    <mergeCell ref="S97:S97"/>
    <mergeCell ref="X97:X97"/>
    <mergeCell ref="Y97:Y97"/>
    <mergeCell ref="Z97:Z97"/>
    <mergeCell ref="AA97:AA97"/>
    <mergeCell ref="AB97:AB97"/>
    <mergeCell ref="AC97:AC97"/>
    <mergeCell ref="AD97:AD97"/>
    <mergeCell ref="AE97:AE97"/>
    <mergeCell ref="AF97:AF97"/>
    <mergeCell ref="A98:A98"/>
    <mergeCell ref="B98:B98"/>
    <mergeCell ref="C98:C98"/>
    <mergeCell ref="F98:F98"/>
    <mergeCell ref="G98:G98"/>
    <mergeCell ref="H98:H98"/>
    <mergeCell ref="M98:M98"/>
    <mergeCell ref="N98:N98"/>
    <mergeCell ref="O98:O98"/>
    <mergeCell ref="P98:P98"/>
    <mergeCell ref="Q98:Q98"/>
    <mergeCell ref="R98:R98"/>
    <mergeCell ref="S98:S98"/>
    <mergeCell ref="X98:X98"/>
    <mergeCell ref="Y98:Y98"/>
    <mergeCell ref="Z98:Z98"/>
    <mergeCell ref="AA98:AA98"/>
    <mergeCell ref="AB98:AB98"/>
    <mergeCell ref="AC98:AC98"/>
    <mergeCell ref="AD98:AD98"/>
    <mergeCell ref="AE98:AE98"/>
    <mergeCell ref="AF98:AF98"/>
    <mergeCell ref="A99:A99"/>
    <mergeCell ref="B99:B99"/>
    <mergeCell ref="C99:C99"/>
    <mergeCell ref="F99:F99"/>
    <mergeCell ref="G99:G99"/>
    <mergeCell ref="H99:H99"/>
    <mergeCell ref="M99:M99"/>
    <mergeCell ref="N99:N99"/>
    <mergeCell ref="O99:O99"/>
    <mergeCell ref="P99:P99"/>
    <mergeCell ref="Q99:Q99"/>
    <mergeCell ref="R99:R99"/>
    <mergeCell ref="S99:S99"/>
    <mergeCell ref="X99:X99"/>
    <mergeCell ref="Y99:Y99"/>
    <mergeCell ref="Z99:Z99"/>
    <mergeCell ref="AA99:AA99"/>
    <mergeCell ref="AB99:AB99"/>
    <mergeCell ref="AC99:AC99"/>
    <mergeCell ref="AD99:AD99"/>
    <mergeCell ref="AE99:AE99"/>
    <mergeCell ref="AF99:AF99"/>
    <mergeCell ref="A100:A100"/>
    <mergeCell ref="B100:B100"/>
    <mergeCell ref="C100:C100"/>
    <mergeCell ref="F100:F100"/>
    <mergeCell ref="G100:G100"/>
    <mergeCell ref="H100:H100"/>
    <mergeCell ref="M100:M100"/>
    <mergeCell ref="N100:N100"/>
    <mergeCell ref="O100:O100"/>
    <mergeCell ref="P100:P100"/>
    <mergeCell ref="Q100:Q100"/>
    <mergeCell ref="R100:R100"/>
    <mergeCell ref="S100:S100"/>
    <mergeCell ref="X100:X100"/>
    <mergeCell ref="Y100:Y100"/>
    <mergeCell ref="Z100:Z100"/>
    <mergeCell ref="AA100:AA100"/>
    <mergeCell ref="AB100:AB100"/>
    <mergeCell ref="AC100:AC100"/>
    <mergeCell ref="AD100:AD100"/>
    <mergeCell ref="AE100:AE100"/>
    <mergeCell ref="AF100:AF100"/>
    <mergeCell ref="A101:A101"/>
    <mergeCell ref="B101:B101"/>
    <mergeCell ref="C101:C101"/>
    <mergeCell ref="F101:F101"/>
    <mergeCell ref="G101:G101"/>
    <mergeCell ref="H101:H101"/>
    <mergeCell ref="M101:M101"/>
    <mergeCell ref="N101:N101"/>
    <mergeCell ref="O101:O101"/>
    <mergeCell ref="P101:P101"/>
    <mergeCell ref="Q101:Q101"/>
    <mergeCell ref="R101:R101"/>
    <mergeCell ref="S101:S101"/>
    <mergeCell ref="X101:X101"/>
    <mergeCell ref="Y101:Y101"/>
    <mergeCell ref="Z101:Z101"/>
    <mergeCell ref="AA101:AA101"/>
    <mergeCell ref="AB101:AB101"/>
    <mergeCell ref="AC101:AC101"/>
    <mergeCell ref="AD101:AD101"/>
    <mergeCell ref="AE101:AE101"/>
    <mergeCell ref="AF101:AF101"/>
    <mergeCell ref="A102:A102"/>
    <mergeCell ref="B102:B102"/>
    <mergeCell ref="C102:C102"/>
    <mergeCell ref="F102:F102"/>
    <mergeCell ref="G102:G102"/>
    <mergeCell ref="H102:H102"/>
    <mergeCell ref="M102:M102"/>
    <mergeCell ref="N102:N102"/>
    <mergeCell ref="O102:O102"/>
    <mergeCell ref="P102:P102"/>
    <mergeCell ref="Q102:Q102"/>
    <mergeCell ref="R102:R102"/>
    <mergeCell ref="S102:S102"/>
    <mergeCell ref="X102:X102"/>
    <mergeCell ref="Y102:Y102"/>
    <mergeCell ref="Z102:Z102"/>
    <mergeCell ref="AA102:AA102"/>
    <mergeCell ref="AB102:AB102"/>
    <mergeCell ref="AC102:AC102"/>
    <mergeCell ref="AD102:AD102"/>
    <mergeCell ref="AE102:AE102"/>
    <mergeCell ref="AF102:AF102"/>
    <mergeCell ref="A103:A103"/>
    <mergeCell ref="B103:B103"/>
    <mergeCell ref="C103:C103"/>
    <mergeCell ref="F103:F103"/>
    <mergeCell ref="G103:G103"/>
    <mergeCell ref="H103:H103"/>
    <mergeCell ref="M103:M103"/>
    <mergeCell ref="N103:N103"/>
    <mergeCell ref="O103:O103"/>
    <mergeCell ref="P103:P103"/>
    <mergeCell ref="Q103:Q103"/>
    <mergeCell ref="R103:R103"/>
    <mergeCell ref="S103:S103"/>
    <mergeCell ref="X103:X103"/>
    <mergeCell ref="Y103:Y103"/>
    <mergeCell ref="Z103:Z103"/>
    <mergeCell ref="AA103:AA103"/>
    <mergeCell ref="AB103:AB103"/>
    <mergeCell ref="AC103:AC103"/>
    <mergeCell ref="AD103:AD103"/>
    <mergeCell ref="AE103:AE103"/>
    <mergeCell ref="AF103:AF103"/>
    <mergeCell ref="A104:A104"/>
    <mergeCell ref="B104:B104"/>
    <mergeCell ref="C104:C104"/>
    <mergeCell ref="F104:F104"/>
    <mergeCell ref="G104:G104"/>
    <mergeCell ref="H104:H104"/>
    <mergeCell ref="M104:M104"/>
    <mergeCell ref="N104:N104"/>
    <mergeCell ref="O104:O104"/>
    <mergeCell ref="P104:P104"/>
    <mergeCell ref="Q104:Q104"/>
    <mergeCell ref="R104:R104"/>
    <mergeCell ref="S104:S104"/>
    <mergeCell ref="X104:X104"/>
    <mergeCell ref="Y104:Y104"/>
    <mergeCell ref="Z104:Z104"/>
    <mergeCell ref="AA104:AA104"/>
    <mergeCell ref="AB104:AB104"/>
    <mergeCell ref="AC104:AC104"/>
    <mergeCell ref="AD104:AD104"/>
    <mergeCell ref="AE104:AE104"/>
    <mergeCell ref="AF104:AF104"/>
    <mergeCell ref="A105:A105"/>
    <mergeCell ref="B105:B105"/>
    <mergeCell ref="C105:C105"/>
    <mergeCell ref="F105:F105"/>
    <mergeCell ref="G105:G105"/>
    <mergeCell ref="H105:H105"/>
    <mergeCell ref="M105:M105"/>
    <mergeCell ref="N105:N105"/>
    <mergeCell ref="O105:O105"/>
    <mergeCell ref="P105:P105"/>
    <mergeCell ref="Q105:Q105"/>
    <mergeCell ref="R105:R105"/>
    <mergeCell ref="S105:S105"/>
    <mergeCell ref="X105:X105"/>
    <mergeCell ref="Y105:Y105"/>
    <mergeCell ref="Z105:Z105"/>
    <mergeCell ref="AA105:AA105"/>
    <mergeCell ref="AB105:AB105"/>
    <mergeCell ref="AC105:AC105"/>
    <mergeCell ref="AD105:AD105"/>
    <mergeCell ref="AE105:AE105"/>
    <mergeCell ref="AF105:AF105"/>
    <mergeCell ref="A106:A106"/>
    <mergeCell ref="B106:B106"/>
    <mergeCell ref="C106:C106"/>
    <mergeCell ref="F106:F106"/>
    <mergeCell ref="G106:G106"/>
    <mergeCell ref="H106:H106"/>
    <mergeCell ref="M106:M106"/>
    <mergeCell ref="N106:N106"/>
    <mergeCell ref="O106:O106"/>
    <mergeCell ref="P106:P106"/>
    <mergeCell ref="Q106:Q106"/>
    <mergeCell ref="R106:R106"/>
    <mergeCell ref="S106:S106"/>
    <mergeCell ref="X106:X106"/>
    <mergeCell ref="Y106:Y106"/>
    <mergeCell ref="Z106:Z106"/>
    <mergeCell ref="AA106:AA106"/>
    <mergeCell ref="AB106:AB106"/>
    <mergeCell ref="AC106:AC106"/>
    <mergeCell ref="AD106:AD106"/>
    <mergeCell ref="AE106:AE106"/>
    <mergeCell ref="AF106:AF106"/>
    <mergeCell ref="A107:A107"/>
    <mergeCell ref="B107:B107"/>
    <mergeCell ref="C107:C107"/>
    <mergeCell ref="F107:F107"/>
    <mergeCell ref="G107:G107"/>
    <mergeCell ref="H107:H107"/>
    <mergeCell ref="M107:M107"/>
    <mergeCell ref="N107:N107"/>
    <mergeCell ref="O107:O107"/>
    <mergeCell ref="P107:P107"/>
    <mergeCell ref="Q107:Q107"/>
    <mergeCell ref="R107:R107"/>
    <mergeCell ref="S107:S107"/>
    <mergeCell ref="X107:X107"/>
    <mergeCell ref="Y107:Y107"/>
    <mergeCell ref="Z107:Z107"/>
    <mergeCell ref="AA107:AA107"/>
    <mergeCell ref="AB107:AB107"/>
    <mergeCell ref="AC107:AC107"/>
    <mergeCell ref="AD107:AD107"/>
    <mergeCell ref="AE107:AE107"/>
    <mergeCell ref="AF107:AF107"/>
    <mergeCell ref="A108:A108"/>
    <mergeCell ref="B108:B108"/>
    <mergeCell ref="C108:C108"/>
    <mergeCell ref="F108:F108"/>
    <mergeCell ref="G108:G108"/>
    <mergeCell ref="H108:H108"/>
    <mergeCell ref="M108:M108"/>
    <mergeCell ref="N108:N108"/>
    <mergeCell ref="O108:O108"/>
    <mergeCell ref="P108:P108"/>
    <mergeCell ref="Q108:Q108"/>
    <mergeCell ref="R108:R108"/>
    <mergeCell ref="S108:S108"/>
    <mergeCell ref="X108:X108"/>
    <mergeCell ref="Y108:Y108"/>
    <mergeCell ref="Z108:Z108"/>
    <mergeCell ref="AA108:AA108"/>
    <mergeCell ref="AB108:AB108"/>
    <mergeCell ref="AC108:AC108"/>
    <mergeCell ref="AD108:AD108"/>
    <mergeCell ref="AE108:AE108"/>
    <mergeCell ref="AF108:AF108"/>
    <mergeCell ref="A109:A109"/>
    <mergeCell ref="B109:B109"/>
    <mergeCell ref="C109:C109"/>
    <mergeCell ref="F109:F109"/>
    <mergeCell ref="G109:G109"/>
    <mergeCell ref="H109:H109"/>
    <mergeCell ref="M109:M109"/>
    <mergeCell ref="N109:N109"/>
    <mergeCell ref="O109:O109"/>
    <mergeCell ref="P109:P109"/>
    <mergeCell ref="Q109:Q109"/>
    <mergeCell ref="R109:R109"/>
    <mergeCell ref="S109:S109"/>
    <mergeCell ref="X109:X109"/>
    <mergeCell ref="Y109:Y109"/>
    <mergeCell ref="Z109:Z109"/>
    <mergeCell ref="AA109:AA109"/>
    <mergeCell ref="AB109:AB109"/>
    <mergeCell ref="AC109:AC109"/>
    <mergeCell ref="AD109:AD109"/>
    <mergeCell ref="AE109:AE109"/>
    <mergeCell ref="AF109:AF109"/>
    <mergeCell ref="A110:A110"/>
    <mergeCell ref="B110:B110"/>
    <mergeCell ref="C110:C110"/>
    <mergeCell ref="F110:F110"/>
    <mergeCell ref="G110:G110"/>
    <mergeCell ref="H110:H110"/>
    <mergeCell ref="M110:M110"/>
    <mergeCell ref="N110:N110"/>
    <mergeCell ref="O110:O110"/>
    <mergeCell ref="P110:P110"/>
    <mergeCell ref="Q110:Q110"/>
    <mergeCell ref="R110:R110"/>
    <mergeCell ref="S110:S110"/>
    <mergeCell ref="X110:X110"/>
    <mergeCell ref="Y110:Y110"/>
    <mergeCell ref="Z110:Z110"/>
    <mergeCell ref="AA110:AA110"/>
    <mergeCell ref="AB110:AB110"/>
    <mergeCell ref="AC110:AC110"/>
    <mergeCell ref="AD110:AD110"/>
    <mergeCell ref="AE110:AE110"/>
    <mergeCell ref="AF110:AF110"/>
    <mergeCell ref="A111:A111"/>
    <mergeCell ref="B111:B111"/>
    <mergeCell ref="C111:C111"/>
    <mergeCell ref="F111:F111"/>
    <mergeCell ref="G111:G111"/>
    <mergeCell ref="H111:H111"/>
    <mergeCell ref="M111:M111"/>
    <mergeCell ref="N111:N111"/>
    <mergeCell ref="O111:O111"/>
    <mergeCell ref="P111:P111"/>
    <mergeCell ref="Q111:Q111"/>
    <mergeCell ref="R111:R111"/>
    <mergeCell ref="S111:S111"/>
    <mergeCell ref="X111:X111"/>
    <mergeCell ref="Y111:Y111"/>
    <mergeCell ref="Z111:Z111"/>
    <mergeCell ref="AA111:AA111"/>
    <mergeCell ref="AB111:AB111"/>
    <mergeCell ref="AC111:AC111"/>
    <mergeCell ref="AD111:AD111"/>
    <mergeCell ref="AE111:AE111"/>
    <mergeCell ref="AF111:AF111"/>
    <mergeCell ref="A112:A112"/>
    <mergeCell ref="B112:B112"/>
    <mergeCell ref="C112:C112"/>
    <mergeCell ref="F112:F112"/>
    <mergeCell ref="G112:G112"/>
    <mergeCell ref="H112:H112"/>
    <mergeCell ref="M112:M112"/>
    <mergeCell ref="N112:N112"/>
    <mergeCell ref="O112:O112"/>
    <mergeCell ref="P112:P112"/>
    <mergeCell ref="Q112:Q112"/>
    <mergeCell ref="R112:R112"/>
    <mergeCell ref="S112:S112"/>
    <mergeCell ref="X112:X112"/>
    <mergeCell ref="Y112:Y112"/>
    <mergeCell ref="Z112:Z112"/>
    <mergeCell ref="AA112:AA112"/>
    <mergeCell ref="AB112:AB112"/>
    <mergeCell ref="AC112:AC112"/>
    <mergeCell ref="AD112:AD112"/>
    <mergeCell ref="AE112:AE112"/>
    <mergeCell ref="AF112:AF112"/>
    <mergeCell ref="A113:A113"/>
    <mergeCell ref="B113:B113"/>
    <mergeCell ref="C113:C113"/>
    <mergeCell ref="F113:F113"/>
    <mergeCell ref="G113:G113"/>
    <mergeCell ref="H113:H113"/>
    <mergeCell ref="M113:M113"/>
    <mergeCell ref="N113:N113"/>
    <mergeCell ref="O113:O113"/>
    <mergeCell ref="P113:P113"/>
    <mergeCell ref="Q113:Q113"/>
    <mergeCell ref="R113:R113"/>
    <mergeCell ref="S113:S113"/>
    <mergeCell ref="X113:X113"/>
    <mergeCell ref="Y113:Y113"/>
    <mergeCell ref="Z113:Z113"/>
    <mergeCell ref="AA113:AA113"/>
    <mergeCell ref="AB113:AB113"/>
    <mergeCell ref="AC113:AC113"/>
    <mergeCell ref="AD113:AD113"/>
    <mergeCell ref="AE113:AE113"/>
    <mergeCell ref="AF113:AF113"/>
    <mergeCell ref="A114:A114"/>
    <mergeCell ref="B114:B114"/>
    <mergeCell ref="C114:C114"/>
    <mergeCell ref="F114:F114"/>
    <mergeCell ref="G114:G114"/>
    <mergeCell ref="H114:H114"/>
    <mergeCell ref="M114:M114"/>
    <mergeCell ref="N114:N114"/>
    <mergeCell ref="O114:O114"/>
    <mergeCell ref="P114:P114"/>
    <mergeCell ref="Q114:Q114"/>
    <mergeCell ref="R114:R114"/>
    <mergeCell ref="S114:S114"/>
    <mergeCell ref="X114:X114"/>
    <mergeCell ref="Y114:Y114"/>
    <mergeCell ref="Z114:Z114"/>
    <mergeCell ref="AA114:AA114"/>
    <mergeCell ref="AB114:AB114"/>
    <mergeCell ref="AC114:AC114"/>
    <mergeCell ref="AD114:AD114"/>
    <mergeCell ref="AE114:AE114"/>
    <mergeCell ref="AF114:AF114"/>
    <mergeCell ref="A115:A115"/>
    <mergeCell ref="B115:B115"/>
    <mergeCell ref="C115:C115"/>
    <mergeCell ref="F115:F115"/>
    <mergeCell ref="G115:G115"/>
    <mergeCell ref="H115:H115"/>
    <mergeCell ref="M115:M115"/>
    <mergeCell ref="N115:N115"/>
    <mergeCell ref="O115:O115"/>
    <mergeCell ref="P115:P115"/>
    <mergeCell ref="Q115:Q115"/>
    <mergeCell ref="R115:R115"/>
    <mergeCell ref="S115:S115"/>
    <mergeCell ref="X115:X115"/>
    <mergeCell ref="Y115:Y115"/>
    <mergeCell ref="Z115:Z115"/>
    <mergeCell ref="AA115:AA115"/>
    <mergeCell ref="AB115:AB115"/>
    <mergeCell ref="AC115:AC115"/>
    <mergeCell ref="AD115:AD115"/>
    <mergeCell ref="AE115:AE115"/>
    <mergeCell ref="AF115:AF115"/>
    <mergeCell ref="A116:A116"/>
    <mergeCell ref="B116:B116"/>
    <mergeCell ref="C116:C116"/>
    <mergeCell ref="F116:F116"/>
    <mergeCell ref="G116:G116"/>
    <mergeCell ref="H116:H116"/>
    <mergeCell ref="M116:M116"/>
    <mergeCell ref="N116:N116"/>
    <mergeCell ref="O116:O116"/>
    <mergeCell ref="P116:P116"/>
    <mergeCell ref="Q116:Q116"/>
    <mergeCell ref="R116:R116"/>
    <mergeCell ref="S116:S116"/>
    <mergeCell ref="X116:X116"/>
    <mergeCell ref="Y116:Y116"/>
    <mergeCell ref="Z116:Z116"/>
    <mergeCell ref="AA116:AA116"/>
    <mergeCell ref="AB116:AB116"/>
    <mergeCell ref="AC116:AC116"/>
    <mergeCell ref="AD116:AD116"/>
    <mergeCell ref="AE116:AE116"/>
    <mergeCell ref="AF116:AF116"/>
    <mergeCell ref="A117:A117"/>
    <mergeCell ref="B117:B117"/>
    <mergeCell ref="C117:C117"/>
    <mergeCell ref="F117:F117"/>
    <mergeCell ref="G117:G117"/>
    <mergeCell ref="H117:H117"/>
    <mergeCell ref="M117:M117"/>
    <mergeCell ref="N117:N117"/>
    <mergeCell ref="O117:O117"/>
    <mergeCell ref="P117:P117"/>
    <mergeCell ref="Q117:Q117"/>
    <mergeCell ref="R117:R117"/>
    <mergeCell ref="S117:S117"/>
    <mergeCell ref="X117:X117"/>
    <mergeCell ref="Y117:Y117"/>
    <mergeCell ref="Z117:Z117"/>
    <mergeCell ref="AA117:AA117"/>
    <mergeCell ref="AB117:AB117"/>
    <mergeCell ref="AC117:AC117"/>
    <mergeCell ref="AD117:AD117"/>
    <mergeCell ref="AE117:AE117"/>
    <mergeCell ref="AF117:AF117"/>
    <mergeCell ref="A118:A118"/>
    <mergeCell ref="B118:B118"/>
    <mergeCell ref="C118:C118"/>
    <mergeCell ref="F118:F118"/>
    <mergeCell ref="G118:G118"/>
    <mergeCell ref="H118:H118"/>
    <mergeCell ref="M118:M118"/>
    <mergeCell ref="N118:N118"/>
    <mergeCell ref="O118:O118"/>
    <mergeCell ref="P118:P118"/>
    <mergeCell ref="Q118:Q118"/>
    <mergeCell ref="R118:R118"/>
    <mergeCell ref="S118:S118"/>
    <mergeCell ref="X118:X118"/>
    <mergeCell ref="Y118:Y118"/>
    <mergeCell ref="Z118:Z118"/>
    <mergeCell ref="AA118:AA118"/>
    <mergeCell ref="AB118:AB118"/>
    <mergeCell ref="AC118:AC118"/>
    <mergeCell ref="AD118:AD118"/>
    <mergeCell ref="AE118:AE118"/>
    <mergeCell ref="AF118:AF118"/>
    <mergeCell ref="A119:A119"/>
    <mergeCell ref="B119:B119"/>
    <mergeCell ref="C119:C119"/>
    <mergeCell ref="F119:F119"/>
    <mergeCell ref="G119:G119"/>
    <mergeCell ref="H119:H119"/>
    <mergeCell ref="M119:M119"/>
    <mergeCell ref="N119:N119"/>
    <mergeCell ref="O119:O119"/>
    <mergeCell ref="P119:P119"/>
    <mergeCell ref="Q119:Q119"/>
    <mergeCell ref="R119:R119"/>
    <mergeCell ref="S119:S119"/>
    <mergeCell ref="X119:X119"/>
    <mergeCell ref="Y119:Y119"/>
    <mergeCell ref="Z119:Z119"/>
    <mergeCell ref="AA119:AA119"/>
    <mergeCell ref="AB119:AB119"/>
    <mergeCell ref="AC119:AC119"/>
    <mergeCell ref="AD119:AD119"/>
    <mergeCell ref="AE119:AE119"/>
    <mergeCell ref="AF119:AF119"/>
    <mergeCell ref="A120:A120"/>
    <mergeCell ref="B120:B120"/>
    <mergeCell ref="C120:C120"/>
    <mergeCell ref="F120:F120"/>
    <mergeCell ref="G120:G120"/>
    <mergeCell ref="H120:H120"/>
    <mergeCell ref="M120:M120"/>
    <mergeCell ref="N120:N120"/>
    <mergeCell ref="O120:O120"/>
    <mergeCell ref="P120:P120"/>
    <mergeCell ref="Q120:Q120"/>
    <mergeCell ref="R120:R120"/>
    <mergeCell ref="S120:S120"/>
    <mergeCell ref="X120:X120"/>
    <mergeCell ref="Y120:Y120"/>
    <mergeCell ref="Z120:Z120"/>
    <mergeCell ref="AA120:AA120"/>
    <mergeCell ref="AB120:AB120"/>
    <mergeCell ref="AC120:AC120"/>
    <mergeCell ref="AD120:AD120"/>
    <mergeCell ref="AE120:AE120"/>
    <mergeCell ref="AF120:AF120"/>
    <mergeCell ref="A121:A121"/>
    <mergeCell ref="B121:B121"/>
    <mergeCell ref="C121:C121"/>
    <mergeCell ref="F121:F121"/>
    <mergeCell ref="G121:G121"/>
    <mergeCell ref="H121:H121"/>
    <mergeCell ref="M121:M121"/>
    <mergeCell ref="N121:N121"/>
    <mergeCell ref="O121:O121"/>
    <mergeCell ref="P121:P121"/>
    <mergeCell ref="Q121:Q121"/>
    <mergeCell ref="R121:R121"/>
    <mergeCell ref="S121:S121"/>
    <mergeCell ref="X121:X121"/>
    <mergeCell ref="Y121:Y121"/>
    <mergeCell ref="Z121:Z121"/>
    <mergeCell ref="AA121:AA121"/>
    <mergeCell ref="AB121:AB121"/>
    <mergeCell ref="AC121:AC121"/>
    <mergeCell ref="AD121:AD121"/>
    <mergeCell ref="AE121:AE121"/>
    <mergeCell ref="AF121:AF121"/>
    <mergeCell ref="A122:A122"/>
    <mergeCell ref="B122:B122"/>
    <mergeCell ref="C122:C122"/>
    <mergeCell ref="F122:F122"/>
    <mergeCell ref="G122:G122"/>
    <mergeCell ref="H122:H122"/>
    <mergeCell ref="M122:M122"/>
    <mergeCell ref="N122:N122"/>
    <mergeCell ref="O122:O122"/>
    <mergeCell ref="P122:P122"/>
    <mergeCell ref="Q122:Q122"/>
    <mergeCell ref="R122:R122"/>
    <mergeCell ref="S122:S122"/>
    <mergeCell ref="X122:X122"/>
    <mergeCell ref="Y122:Y122"/>
    <mergeCell ref="Z122:Z122"/>
    <mergeCell ref="AA122:AA122"/>
    <mergeCell ref="AB122:AB122"/>
    <mergeCell ref="AC122:AC122"/>
    <mergeCell ref="AD122:AD122"/>
    <mergeCell ref="AE122:AE122"/>
    <mergeCell ref="AF122:AF122"/>
    <mergeCell ref="A123:A123"/>
    <mergeCell ref="B123:B123"/>
    <mergeCell ref="C123:C123"/>
    <mergeCell ref="F123:F123"/>
    <mergeCell ref="G123:G123"/>
    <mergeCell ref="H123:H123"/>
    <mergeCell ref="M123:M123"/>
    <mergeCell ref="N123:N123"/>
    <mergeCell ref="O123:O123"/>
    <mergeCell ref="P123:P123"/>
    <mergeCell ref="Q123:Q123"/>
    <mergeCell ref="R123:R123"/>
    <mergeCell ref="S123:S123"/>
    <mergeCell ref="X123:X123"/>
    <mergeCell ref="Y123:Y123"/>
    <mergeCell ref="Z123:Z123"/>
    <mergeCell ref="AA123:AA123"/>
    <mergeCell ref="AB123:AB123"/>
    <mergeCell ref="AC123:AC123"/>
    <mergeCell ref="AD123:AD123"/>
    <mergeCell ref="AE123:AE123"/>
    <mergeCell ref="AF123:AF123"/>
    <mergeCell ref="A124:A124"/>
    <mergeCell ref="B124:B124"/>
    <mergeCell ref="C124:C124"/>
    <mergeCell ref="F124:F124"/>
    <mergeCell ref="G124:G124"/>
    <mergeCell ref="H124:H124"/>
    <mergeCell ref="M124:M124"/>
    <mergeCell ref="N124:N124"/>
    <mergeCell ref="O124:O124"/>
    <mergeCell ref="P124:P124"/>
    <mergeCell ref="Q124:Q124"/>
    <mergeCell ref="R124:R124"/>
    <mergeCell ref="S124:S124"/>
    <mergeCell ref="X124:X124"/>
    <mergeCell ref="Y124:Y124"/>
    <mergeCell ref="Z124:Z124"/>
    <mergeCell ref="AA124:AA124"/>
    <mergeCell ref="AB124:AB124"/>
    <mergeCell ref="AC124:AC124"/>
    <mergeCell ref="AD124:AD124"/>
    <mergeCell ref="AE124:AE124"/>
    <mergeCell ref="AF124:AF124"/>
    <mergeCell ref="A125:A125"/>
    <mergeCell ref="B125:B125"/>
    <mergeCell ref="C125:C125"/>
    <mergeCell ref="F125:F125"/>
    <mergeCell ref="G125:G125"/>
    <mergeCell ref="H125:H125"/>
    <mergeCell ref="M125:M125"/>
    <mergeCell ref="N125:N125"/>
    <mergeCell ref="O125:O125"/>
    <mergeCell ref="P125:P125"/>
    <mergeCell ref="Q125:Q125"/>
    <mergeCell ref="R125:R125"/>
    <mergeCell ref="S125:S125"/>
    <mergeCell ref="X125:X125"/>
    <mergeCell ref="Y125:Y125"/>
    <mergeCell ref="Z125:Z125"/>
    <mergeCell ref="AA125:AA125"/>
    <mergeCell ref="AB125:AB125"/>
    <mergeCell ref="AC125:AC125"/>
    <mergeCell ref="AD125:AD125"/>
    <mergeCell ref="AE125:AE125"/>
    <mergeCell ref="AF125:AF125"/>
    <mergeCell ref="A126:A126"/>
    <mergeCell ref="B126:B126"/>
    <mergeCell ref="C126:C126"/>
    <mergeCell ref="F126:F126"/>
    <mergeCell ref="G126:G126"/>
    <mergeCell ref="H126:H126"/>
    <mergeCell ref="M126:M126"/>
    <mergeCell ref="N126:N126"/>
    <mergeCell ref="O126:O126"/>
    <mergeCell ref="P126:P126"/>
    <mergeCell ref="Q126:Q126"/>
    <mergeCell ref="R126:R126"/>
    <mergeCell ref="S126:S126"/>
    <mergeCell ref="X126:X126"/>
    <mergeCell ref="Y126:Y126"/>
    <mergeCell ref="Z126:Z126"/>
    <mergeCell ref="AA126:AA126"/>
    <mergeCell ref="AB126:AB126"/>
    <mergeCell ref="AC126:AC126"/>
    <mergeCell ref="AD126:AD126"/>
    <mergeCell ref="AE126:AE126"/>
    <mergeCell ref="AF126:AF126"/>
    <mergeCell ref="A127:A127"/>
    <mergeCell ref="B127:B127"/>
    <mergeCell ref="C127:C127"/>
    <mergeCell ref="F127:F127"/>
    <mergeCell ref="G127:G127"/>
    <mergeCell ref="H127:H127"/>
    <mergeCell ref="M127:M127"/>
    <mergeCell ref="N127:N127"/>
    <mergeCell ref="O127:O127"/>
    <mergeCell ref="P127:P127"/>
    <mergeCell ref="Q127:Q127"/>
    <mergeCell ref="R127:R127"/>
    <mergeCell ref="S127:S127"/>
    <mergeCell ref="X127:X127"/>
    <mergeCell ref="Y127:Y127"/>
    <mergeCell ref="Z127:Z127"/>
    <mergeCell ref="AA127:AA127"/>
    <mergeCell ref="AB127:AB127"/>
    <mergeCell ref="AC127:AC127"/>
    <mergeCell ref="AD127:AD127"/>
    <mergeCell ref="AE127:AE127"/>
    <mergeCell ref="AF127:AF127"/>
    <mergeCell ref="A128:A128"/>
    <mergeCell ref="B128:B128"/>
    <mergeCell ref="C128:C128"/>
    <mergeCell ref="F128:F128"/>
    <mergeCell ref="G128:G128"/>
    <mergeCell ref="H128:H128"/>
    <mergeCell ref="M128:M128"/>
    <mergeCell ref="N128:N128"/>
    <mergeCell ref="O128:O128"/>
    <mergeCell ref="P128:P128"/>
    <mergeCell ref="Q128:Q128"/>
    <mergeCell ref="R128:R128"/>
    <mergeCell ref="S128:S128"/>
    <mergeCell ref="X128:X128"/>
    <mergeCell ref="Y128:Y128"/>
    <mergeCell ref="Z128:Z128"/>
    <mergeCell ref="AA128:AA128"/>
    <mergeCell ref="AB128:AB128"/>
    <mergeCell ref="AC128:AC128"/>
    <mergeCell ref="AD128:AD128"/>
    <mergeCell ref="AE128:AE128"/>
    <mergeCell ref="AF128:AF128"/>
    <mergeCell ref="A129:A129"/>
    <mergeCell ref="B129:B129"/>
    <mergeCell ref="C129:C129"/>
    <mergeCell ref="F129:F129"/>
    <mergeCell ref="G129:G129"/>
    <mergeCell ref="H129:H129"/>
    <mergeCell ref="M129:M129"/>
    <mergeCell ref="N129:N129"/>
    <mergeCell ref="O129:O129"/>
    <mergeCell ref="P129:P129"/>
    <mergeCell ref="Q129:Q129"/>
    <mergeCell ref="R129:R129"/>
    <mergeCell ref="S129:S129"/>
    <mergeCell ref="X129:X129"/>
    <mergeCell ref="Y129:Y129"/>
    <mergeCell ref="Z129:Z129"/>
    <mergeCell ref="AA129:AA129"/>
    <mergeCell ref="AB129:AB129"/>
    <mergeCell ref="AC129:AC129"/>
    <mergeCell ref="AD129:AD129"/>
    <mergeCell ref="AE129:AE129"/>
    <mergeCell ref="AF129:AF129"/>
    <mergeCell ref="A130:A130"/>
    <mergeCell ref="B130:B130"/>
    <mergeCell ref="C130:C130"/>
    <mergeCell ref="F130:F130"/>
    <mergeCell ref="G130:G130"/>
    <mergeCell ref="H130:H130"/>
    <mergeCell ref="M130:M130"/>
    <mergeCell ref="N130:N130"/>
    <mergeCell ref="O130:O130"/>
    <mergeCell ref="P130:P130"/>
    <mergeCell ref="Q130:Q130"/>
    <mergeCell ref="R130:R130"/>
    <mergeCell ref="S130:S130"/>
    <mergeCell ref="X130:X130"/>
    <mergeCell ref="Y130:Y130"/>
    <mergeCell ref="Z130:Z130"/>
    <mergeCell ref="AA130:AA130"/>
    <mergeCell ref="AB130:AB130"/>
    <mergeCell ref="AC130:AC130"/>
    <mergeCell ref="AD130:AD130"/>
    <mergeCell ref="AE130:AE130"/>
    <mergeCell ref="AF130:AF130"/>
    <mergeCell ref="A131:A131"/>
    <mergeCell ref="B131:B131"/>
    <mergeCell ref="C131:C131"/>
    <mergeCell ref="F131:F131"/>
    <mergeCell ref="G131:G131"/>
    <mergeCell ref="H131:H131"/>
    <mergeCell ref="M131:M131"/>
    <mergeCell ref="N131:N131"/>
    <mergeCell ref="O131:O131"/>
    <mergeCell ref="P131:P131"/>
    <mergeCell ref="Q131:Q131"/>
    <mergeCell ref="R131:R131"/>
    <mergeCell ref="S131:S131"/>
    <mergeCell ref="X131:X131"/>
    <mergeCell ref="Y131:Y131"/>
    <mergeCell ref="Z131:Z131"/>
    <mergeCell ref="AA131:AA131"/>
    <mergeCell ref="AB131:AB131"/>
    <mergeCell ref="AC131:AC131"/>
    <mergeCell ref="AD131:AD131"/>
    <mergeCell ref="AE131:AE131"/>
    <mergeCell ref="AF131:AF131"/>
    <mergeCell ref="A132:A132"/>
    <mergeCell ref="B132:B132"/>
    <mergeCell ref="C132:C132"/>
    <mergeCell ref="F132:F132"/>
    <mergeCell ref="G132:G132"/>
    <mergeCell ref="H132:H132"/>
    <mergeCell ref="M132:M132"/>
    <mergeCell ref="N132:N132"/>
    <mergeCell ref="O132:O132"/>
    <mergeCell ref="P132:P132"/>
    <mergeCell ref="Q132:Q132"/>
    <mergeCell ref="R132:R132"/>
    <mergeCell ref="S132:S132"/>
    <mergeCell ref="X132:X132"/>
    <mergeCell ref="Y132:Y132"/>
    <mergeCell ref="Z132:Z132"/>
    <mergeCell ref="AA132:AA132"/>
    <mergeCell ref="AB132:AB132"/>
    <mergeCell ref="AC132:AC132"/>
    <mergeCell ref="AD132:AD132"/>
    <mergeCell ref="AE132:AE132"/>
    <mergeCell ref="AF132:AF132"/>
    <mergeCell ref="A133:A133"/>
    <mergeCell ref="B133:B133"/>
    <mergeCell ref="C133:C133"/>
    <mergeCell ref="F133:F133"/>
    <mergeCell ref="G133:G133"/>
    <mergeCell ref="H133:H133"/>
    <mergeCell ref="M133:M133"/>
    <mergeCell ref="N133:N133"/>
    <mergeCell ref="O133:O133"/>
    <mergeCell ref="P133:P133"/>
    <mergeCell ref="Q133:Q133"/>
    <mergeCell ref="R133:R133"/>
    <mergeCell ref="S133:S133"/>
    <mergeCell ref="X133:X133"/>
    <mergeCell ref="Y133:Y133"/>
    <mergeCell ref="Z133:Z133"/>
    <mergeCell ref="AA133:AA133"/>
    <mergeCell ref="AB133:AB133"/>
    <mergeCell ref="AC133:AC133"/>
    <mergeCell ref="AD133:AD133"/>
    <mergeCell ref="AE133:AE133"/>
    <mergeCell ref="AF133:AF133"/>
    <mergeCell ref="A134:A134"/>
    <mergeCell ref="B134:B134"/>
    <mergeCell ref="C134:C134"/>
    <mergeCell ref="F134:F134"/>
    <mergeCell ref="G134:G134"/>
    <mergeCell ref="H134:H134"/>
    <mergeCell ref="M134:M134"/>
    <mergeCell ref="N134:N134"/>
    <mergeCell ref="O134:O134"/>
    <mergeCell ref="P134:P134"/>
    <mergeCell ref="Q134:Q134"/>
    <mergeCell ref="R134:R134"/>
    <mergeCell ref="S134:S134"/>
    <mergeCell ref="X134:X134"/>
    <mergeCell ref="Y134:Y134"/>
    <mergeCell ref="Z134:Z134"/>
    <mergeCell ref="AA134:AA134"/>
    <mergeCell ref="AB134:AB134"/>
    <mergeCell ref="AC134:AC134"/>
    <mergeCell ref="AD134:AD134"/>
    <mergeCell ref="AE134:AE134"/>
    <mergeCell ref="AF134:AF134"/>
    <mergeCell ref="A135:A135"/>
    <mergeCell ref="B135:B135"/>
    <mergeCell ref="C135:C135"/>
    <mergeCell ref="F135:F135"/>
    <mergeCell ref="G135:G135"/>
    <mergeCell ref="H135:H135"/>
    <mergeCell ref="M135:M135"/>
    <mergeCell ref="N135:N135"/>
    <mergeCell ref="O135:O135"/>
    <mergeCell ref="P135:P135"/>
    <mergeCell ref="Q135:Q135"/>
    <mergeCell ref="R135:R135"/>
    <mergeCell ref="S135:S135"/>
    <mergeCell ref="X135:X135"/>
    <mergeCell ref="Y135:Y135"/>
    <mergeCell ref="Z135:Z135"/>
    <mergeCell ref="AA135:AA135"/>
    <mergeCell ref="AB135:AB135"/>
    <mergeCell ref="AC135:AC135"/>
    <mergeCell ref="AD135:AD135"/>
    <mergeCell ref="AE135:AE135"/>
    <mergeCell ref="AF135:AF135"/>
    <mergeCell ref="A136:A136"/>
    <mergeCell ref="B136:B136"/>
    <mergeCell ref="C136:C136"/>
    <mergeCell ref="F136:F136"/>
    <mergeCell ref="G136:G136"/>
    <mergeCell ref="H136:H136"/>
    <mergeCell ref="M136:M136"/>
    <mergeCell ref="N136:N136"/>
    <mergeCell ref="O136:O136"/>
    <mergeCell ref="P136:P136"/>
    <mergeCell ref="Q136:Q136"/>
    <mergeCell ref="R136:R136"/>
    <mergeCell ref="S136:S136"/>
    <mergeCell ref="X136:X136"/>
    <mergeCell ref="Y136:Y136"/>
    <mergeCell ref="Z136:Z136"/>
    <mergeCell ref="AA136:AA136"/>
    <mergeCell ref="AB136:AB136"/>
    <mergeCell ref="AC136:AC136"/>
    <mergeCell ref="AD136:AD136"/>
    <mergeCell ref="AE136:AE136"/>
    <mergeCell ref="AF136:AF136"/>
    <mergeCell ref="A137:A137"/>
    <mergeCell ref="B137:B137"/>
    <mergeCell ref="C137:C137"/>
    <mergeCell ref="F137:F137"/>
    <mergeCell ref="G137:G137"/>
    <mergeCell ref="H137:H137"/>
    <mergeCell ref="M137:M137"/>
    <mergeCell ref="N137:N137"/>
    <mergeCell ref="O137:O137"/>
    <mergeCell ref="P137:P137"/>
    <mergeCell ref="Q137:Q137"/>
    <mergeCell ref="R137:R137"/>
    <mergeCell ref="S137:S137"/>
    <mergeCell ref="X137:X137"/>
    <mergeCell ref="Y137:Y137"/>
    <mergeCell ref="Z137:Z137"/>
    <mergeCell ref="AA137:AA137"/>
    <mergeCell ref="AB137:AB137"/>
    <mergeCell ref="AC137:AC137"/>
    <mergeCell ref="AD137:AD137"/>
    <mergeCell ref="AE137:AE137"/>
    <mergeCell ref="AF137:AF137"/>
    <mergeCell ref="A138:A138"/>
    <mergeCell ref="B138:B138"/>
    <mergeCell ref="C138:C138"/>
    <mergeCell ref="F138:F138"/>
    <mergeCell ref="G138:G138"/>
    <mergeCell ref="H138:H138"/>
    <mergeCell ref="M138:M138"/>
    <mergeCell ref="N138:N138"/>
    <mergeCell ref="O138:O138"/>
    <mergeCell ref="P138:P138"/>
    <mergeCell ref="Q138:Q138"/>
    <mergeCell ref="R138:R138"/>
    <mergeCell ref="S138:S138"/>
    <mergeCell ref="X138:X138"/>
    <mergeCell ref="Y138:Y138"/>
    <mergeCell ref="Z138:Z138"/>
    <mergeCell ref="AA138:AA138"/>
    <mergeCell ref="AB138:AB138"/>
    <mergeCell ref="AC138:AC138"/>
    <mergeCell ref="AD138:AD138"/>
    <mergeCell ref="AE138:AE138"/>
    <mergeCell ref="AF138:AF138"/>
    <mergeCell ref="A139:A139"/>
    <mergeCell ref="B139:B139"/>
    <mergeCell ref="C139:C139"/>
    <mergeCell ref="F139:F139"/>
    <mergeCell ref="G139:G139"/>
    <mergeCell ref="H139:H139"/>
    <mergeCell ref="M139:M139"/>
    <mergeCell ref="N139:N139"/>
    <mergeCell ref="O139:O139"/>
    <mergeCell ref="P139:P139"/>
    <mergeCell ref="Q139:Q139"/>
    <mergeCell ref="R139:R139"/>
    <mergeCell ref="S139:S139"/>
    <mergeCell ref="X139:X139"/>
    <mergeCell ref="Y139:Y139"/>
    <mergeCell ref="Z139:Z139"/>
    <mergeCell ref="AA139:AA139"/>
    <mergeCell ref="AB139:AB139"/>
    <mergeCell ref="AC139:AC139"/>
    <mergeCell ref="AD139:AD139"/>
    <mergeCell ref="AE139:AE139"/>
    <mergeCell ref="AF139:AF139"/>
    <mergeCell ref="A140:A140"/>
    <mergeCell ref="B140:B140"/>
    <mergeCell ref="C140:C140"/>
    <mergeCell ref="F140:F140"/>
    <mergeCell ref="G140:G140"/>
    <mergeCell ref="H140:H140"/>
    <mergeCell ref="M140:M140"/>
    <mergeCell ref="N140:N140"/>
    <mergeCell ref="O140:O140"/>
    <mergeCell ref="P140:P140"/>
    <mergeCell ref="Q140:Q140"/>
    <mergeCell ref="R140:R140"/>
    <mergeCell ref="S140:S140"/>
    <mergeCell ref="X140:X140"/>
    <mergeCell ref="Y140:Y140"/>
    <mergeCell ref="Z140:Z140"/>
    <mergeCell ref="AA140:AA140"/>
    <mergeCell ref="AB140:AB140"/>
    <mergeCell ref="AC140:AC140"/>
    <mergeCell ref="AD140:AD140"/>
    <mergeCell ref="AE140:AE140"/>
    <mergeCell ref="AF140:AF140"/>
    <mergeCell ref="A141:A141"/>
    <mergeCell ref="B141:B141"/>
    <mergeCell ref="C141:C141"/>
    <mergeCell ref="F141:F141"/>
    <mergeCell ref="G141:G141"/>
    <mergeCell ref="H141:H141"/>
    <mergeCell ref="M141:M141"/>
    <mergeCell ref="N141:N141"/>
    <mergeCell ref="O141:O141"/>
    <mergeCell ref="P141:P141"/>
    <mergeCell ref="Q141:Q141"/>
    <mergeCell ref="R141:R141"/>
    <mergeCell ref="S141:S141"/>
    <mergeCell ref="X141:X141"/>
    <mergeCell ref="Y141:Y141"/>
    <mergeCell ref="Z141:Z141"/>
    <mergeCell ref="AA141:AA141"/>
    <mergeCell ref="AB141:AB141"/>
    <mergeCell ref="AC141:AC141"/>
    <mergeCell ref="AD141:AD141"/>
    <mergeCell ref="AE141:AE141"/>
    <mergeCell ref="AF141:AF141"/>
    <mergeCell ref="A142:A142"/>
    <mergeCell ref="B142:B142"/>
    <mergeCell ref="C142:C142"/>
    <mergeCell ref="F142:F142"/>
    <mergeCell ref="G142:G142"/>
    <mergeCell ref="H142:H142"/>
    <mergeCell ref="M142:M142"/>
    <mergeCell ref="N142:N142"/>
    <mergeCell ref="O142:O142"/>
    <mergeCell ref="P142:P142"/>
    <mergeCell ref="Q142:Q142"/>
    <mergeCell ref="R142:R142"/>
    <mergeCell ref="S142:S142"/>
    <mergeCell ref="X142:X142"/>
    <mergeCell ref="Y142:Y142"/>
    <mergeCell ref="Z142:Z142"/>
    <mergeCell ref="AA142:AA142"/>
    <mergeCell ref="AB142:AB142"/>
    <mergeCell ref="AC142:AC142"/>
    <mergeCell ref="AD142:AD142"/>
    <mergeCell ref="AE142:AE142"/>
    <mergeCell ref="AF142:AF142"/>
    <mergeCell ref="A143:A143"/>
    <mergeCell ref="B143:B143"/>
    <mergeCell ref="C143:C143"/>
    <mergeCell ref="F143:F143"/>
    <mergeCell ref="G143:G143"/>
    <mergeCell ref="H143:H143"/>
    <mergeCell ref="M143:M143"/>
    <mergeCell ref="N143:N143"/>
    <mergeCell ref="O143:O143"/>
    <mergeCell ref="P143:P143"/>
    <mergeCell ref="Q143:Q143"/>
    <mergeCell ref="R143:R143"/>
    <mergeCell ref="S143:S143"/>
    <mergeCell ref="X143:X143"/>
    <mergeCell ref="Y143:Y143"/>
    <mergeCell ref="Z143:Z143"/>
    <mergeCell ref="AA143:AA143"/>
    <mergeCell ref="AB143:AB143"/>
    <mergeCell ref="AC143:AC143"/>
    <mergeCell ref="AD143:AD143"/>
    <mergeCell ref="AE143:AE143"/>
    <mergeCell ref="AF143:AF143"/>
    <mergeCell ref="A144:A144"/>
    <mergeCell ref="B144:B144"/>
    <mergeCell ref="C144:C144"/>
    <mergeCell ref="F144:F144"/>
    <mergeCell ref="G144:G144"/>
    <mergeCell ref="H144:H144"/>
    <mergeCell ref="M144:M144"/>
    <mergeCell ref="N144:N144"/>
    <mergeCell ref="O144:O144"/>
    <mergeCell ref="P144:P144"/>
    <mergeCell ref="Q144:Q144"/>
    <mergeCell ref="R144:R144"/>
    <mergeCell ref="S144:S144"/>
    <mergeCell ref="X144:X144"/>
    <mergeCell ref="Y144:Y144"/>
    <mergeCell ref="Z144:Z144"/>
    <mergeCell ref="AA144:AA144"/>
    <mergeCell ref="AB144:AB144"/>
    <mergeCell ref="AC144:AC144"/>
    <mergeCell ref="AD144:AD144"/>
    <mergeCell ref="AE144:AE144"/>
    <mergeCell ref="AF144:AF144"/>
    <mergeCell ref="A145:A145"/>
    <mergeCell ref="B145:B145"/>
    <mergeCell ref="C145:C145"/>
    <mergeCell ref="F145:F145"/>
    <mergeCell ref="G145:G145"/>
    <mergeCell ref="H145:H145"/>
    <mergeCell ref="M145:M145"/>
    <mergeCell ref="N145:N145"/>
    <mergeCell ref="O145:O145"/>
    <mergeCell ref="P145:P145"/>
    <mergeCell ref="Q145:Q145"/>
    <mergeCell ref="R145:R145"/>
    <mergeCell ref="S145:S145"/>
    <mergeCell ref="X145:X145"/>
    <mergeCell ref="Y145:Y145"/>
    <mergeCell ref="Z145:Z145"/>
    <mergeCell ref="AA145:AA145"/>
    <mergeCell ref="AB145:AB145"/>
    <mergeCell ref="AC145:AC145"/>
    <mergeCell ref="AD145:AD145"/>
    <mergeCell ref="AE145:AE145"/>
    <mergeCell ref="AF145:AF145"/>
    <mergeCell ref="A146:A146"/>
    <mergeCell ref="B146:B146"/>
    <mergeCell ref="C146:C146"/>
    <mergeCell ref="F146:F146"/>
    <mergeCell ref="G146:G146"/>
    <mergeCell ref="H146:H146"/>
    <mergeCell ref="M146:M146"/>
    <mergeCell ref="N146:N146"/>
    <mergeCell ref="O146:O146"/>
    <mergeCell ref="P146:P146"/>
    <mergeCell ref="Q146:Q146"/>
    <mergeCell ref="R146:R146"/>
    <mergeCell ref="S146:S146"/>
    <mergeCell ref="X146:X146"/>
    <mergeCell ref="Y146:Y146"/>
    <mergeCell ref="Z146:Z146"/>
    <mergeCell ref="AA146:AA146"/>
    <mergeCell ref="AB146:AB146"/>
    <mergeCell ref="AC146:AC146"/>
    <mergeCell ref="AD146:AD146"/>
    <mergeCell ref="AE146:AE146"/>
    <mergeCell ref="AF146:AF146"/>
    <mergeCell ref="A147:A147"/>
    <mergeCell ref="B147:B147"/>
    <mergeCell ref="C147:C147"/>
    <mergeCell ref="F147:F147"/>
    <mergeCell ref="G147:G147"/>
    <mergeCell ref="H147:H147"/>
    <mergeCell ref="M147:M147"/>
    <mergeCell ref="N147:N147"/>
    <mergeCell ref="O147:O147"/>
    <mergeCell ref="P147:P147"/>
    <mergeCell ref="Q147:Q147"/>
    <mergeCell ref="R147:R147"/>
    <mergeCell ref="S147:S147"/>
    <mergeCell ref="X147:X147"/>
    <mergeCell ref="Y147:Y147"/>
    <mergeCell ref="Z147:Z147"/>
    <mergeCell ref="AA147:AA147"/>
    <mergeCell ref="AB147:AB147"/>
    <mergeCell ref="AC147:AC147"/>
    <mergeCell ref="AD147:AD147"/>
    <mergeCell ref="AE147:AE147"/>
    <mergeCell ref="AF147:AF147"/>
    <mergeCell ref="A148:A148"/>
    <mergeCell ref="B148:B148"/>
    <mergeCell ref="C148:C148"/>
    <mergeCell ref="F148:F148"/>
    <mergeCell ref="G148:G148"/>
    <mergeCell ref="H148:H148"/>
    <mergeCell ref="M148:M148"/>
    <mergeCell ref="N148:N148"/>
    <mergeCell ref="O148:O148"/>
    <mergeCell ref="P148:P148"/>
    <mergeCell ref="Q148:Q148"/>
    <mergeCell ref="R148:R148"/>
    <mergeCell ref="S148:S148"/>
    <mergeCell ref="X148:X148"/>
    <mergeCell ref="Y148:Y148"/>
    <mergeCell ref="Z148:Z148"/>
    <mergeCell ref="AA148:AA148"/>
    <mergeCell ref="AB148:AB148"/>
    <mergeCell ref="AC148:AC148"/>
    <mergeCell ref="AD148:AD148"/>
    <mergeCell ref="AE148:AE148"/>
    <mergeCell ref="AF148:AF148"/>
    <mergeCell ref="A149:A149"/>
    <mergeCell ref="B149:B149"/>
    <mergeCell ref="C149:C149"/>
    <mergeCell ref="F149:F149"/>
    <mergeCell ref="G149:G149"/>
    <mergeCell ref="H149:H149"/>
    <mergeCell ref="M149:M149"/>
    <mergeCell ref="N149:N149"/>
    <mergeCell ref="O149:O149"/>
    <mergeCell ref="P149:P149"/>
    <mergeCell ref="Q149:Q149"/>
    <mergeCell ref="R149:R149"/>
    <mergeCell ref="S149:S149"/>
    <mergeCell ref="X149:X149"/>
    <mergeCell ref="Y149:Y149"/>
    <mergeCell ref="Z149:Z149"/>
    <mergeCell ref="AA149:AA149"/>
    <mergeCell ref="AB149:AB149"/>
    <mergeCell ref="AC149:AC149"/>
    <mergeCell ref="AD149:AD149"/>
    <mergeCell ref="AE149:AE149"/>
    <mergeCell ref="AF149:AF149"/>
    <mergeCell ref="A150:A150"/>
    <mergeCell ref="B150:B150"/>
    <mergeCell ref="C150:C150"/>
    <mergeCell ref="F150:F150"/>
    <mergeCell ref="G150:G150"/>
    <mergeCell ref="H150:H150"/>
    <mergeCell ref="M150:M150"/>
    <mergeCell ref="N150:N150"/>
    <mergeCell ref="O150:O150"/>
    <mergeCell ref="P150:P150"/>
    <mergeCell ref="Q150:Q150"/>
    <mergeCell ref="R150:R150"/>
    <mergeCell ref="S150:S150"/>
    <mergeCell ref="X150:X150"/>
    <mergeCell ref="Y150:Y150"/>
    <mergeCell ref="Z150:Z150"/>
    <mergeCell ref="AA150:AA150"/>
    <mergeCell ref="AB150:AB150"/>
    <mergeCell ref="AC150:AC150"/>
    <mergeCell ref="AD150:AD150"/>
    <mergeCell ref="AE150:AE150"/>
    <mergeCell ref="AF150:AF150"/>
    <mergeCell ref="A151:A151"/>
    <mergeCell ref="B151:B151"/>
    <mergeCell ref="C151:C151"/>
    <mergeCell ref="F151:F151"/>
    <mergeCell ref="G151:G151"/>
    <mergeCell ref="H151:H151"/>
    <mergeCell ref="M151:M151"/>
    <mergeCell ref="N151:N151"/>
    <mergeCell ref="O151:O151"/>
    <mergeCell ref="P151:P151"/>
    <mergeCell ref="Q151:Q151"/>
    <mergeCell ref="R151:R151"/>
    <mergeCell ref="S151:S151"/>
    <mergeCell ref="X151:X151"/>
    <mergeCell ref="Y151:Y151"/>
    <mergeCell ref="Z151:Z151"/>
    <mergeCell ref="AA151:AA151"/>
    <mergeCell ref="AB151:AB151"/>
    <mergeCell ref="AC151:AC151"/>
    <mergeCell ref="AD151:AD151"/>
    <mergeCell ref="AE151:AE151"/>
    <mergeCell ref="AF151:AF151"/>
    <mergeCell ref="A152:A152"/>
    <mergeCell ref="B152:B152"/>
    <mergeCell ref="C152:C152"/>
    <mergeCell ref="F152:F152"/>
    <mergeCell ref="G152:G152"/>
    <mergeCell ref="H152:H152"/>
    <mergeCell ref="M152:M152"/>
    <mergeCell ref="N152:N152"/>
    <mergeCell ref="O152:O152"/>
    <mergeCell ref="P152:P152"/>
    <mergeCell ref="Q152:Q152"/>
    <mergeCell ref="R152:R152"/>
    <mergeCell ref="S152:S152"/>
    <mergeCell ref="X152:X152"/>
    <mergeCell ref="Y152:Y152"/>
    <mergeCell ref="Z152:Z152"/>
    <mergeCell ref="AA152:AA152"/>
    <mergeCell ref="AB152:AB152"/>
    <mergeCell ref="AC152:AC152"/>
    <mergeCell ref="AD152:AD152"/>
    <mergeCell ref="AE152:AE152"/>
    <mergeCell ref="AF152:AF152"/>
    <mergeCell ref="A153:A153"/>
    <mergeCell ref="B153:B153"/>
    <mergeCell ref="C153:C153"/>
    <mergeCell ref="F153:F153"/>
    <mergeCell ref="G153:G153"/>
    <mergeCell ref="H153:H153"/>
    <mergeCell ref="M153:M153"/>
    <mergeCell ref="N153:N153"/>
    <mergeCell ref="O153:O153"/>
    <mergeCell ref="P153:P153"/>
    <mergeCell ref="Q153:Q153"/>
    <mergeCell ref="R153:R153"/>
    <mergeCell ref="S153:S153"/>
    <mergeCell ref="X153:X153"/>
    <mergeCell ref="Y153:Y153"/>
    <mergeCell ref="Z153:Z153"/>
    <mergeCell ref="AA153:AA153"/>
    <mergeCell ref="AB153:AB153"/>
    <mergeCell ref="AC153:AC153"/>
    <mergeCell ref="AD153:AD153"/>
    <mergeCell ref="AE153:AE153"/>
    <mergeCell ref="AF153:AF153"/>
    <mergeCell ref="A154:A154"/>
    <mergeCell ref="B154:B154"/>
    <mergeCell ref="C154:C154"/>
    <mergeCell ref="F154:F154"/>
    <mergeCell ref="G154:G154"/>
    <mergeCell ref="H154:H154"/>
    <mergeCell ref="M154:M154"/>
    <mergeCell ref="N154:N154"/>
    <mergeCell ref="O154:O154"/>
    <mergeCell ref="P154:P154"/>
    <mergeCell ref="Q154:Q154"/>
    <mergeCell ref="R154:R154"/>
    <mergeCell ref="S154:S154"/>
    <mergeCell ref="X154:X154"/>
    <mergeCell ref="Y154:Y154"/>
    <mergeCell ref="Z154:Z154"/>
    <mergeCell ref="AA154:AA154"/>
    <mergeCell ref="AB154:AB154"/>
    <mergeCell ref="AC154:AC154"/>
    <mergeCell ref="AD154:AD154"/>
    <mergeCell ref="AE154:AE154"/>
    <mergeCell ref="AF154:AF154"/>
    <mergeCell ref="A155:A155"/>
    <mergeCell ref="B155:B155"/>
    <mergeCell ref="C155:C155"/>
    <mergeCell ref="F155:F155"/>
    <mergeCell ref="G155:G155"/>
    <mergeCell ref="H155:H155"/>
    <mergeCell ref="M155:M155"/>
    <mergeCell ref="N155:N155"/>
    <mergeCell ref="O155:O155"/>
    <mergeCell ref="P155:P155"/>
    <mergeCell ref="Q155:Q155"/>
    <mergeCell ref="R155:R155"/>
    <mergeCell ref="S155:S155"/>
    <mergeCell ref="X155:X155"/>
    <mergeCell ref="Y155:Y155"/>
    <mergeCell ref="Z155:Z155"/>
    <mergeCell ref="AA155:AA155"/>
    <mergeCell ref="AB155:AB155"/>
    <mergeCell ref="AC155:AC155"/>
    <mergeCell ref="AD155:AD155"/>
    <mergeCell ref="AE155:AE155"/>
    <mergeCell ref="AF155:AF155"/>
    <mergeCell ref="A156:A156"/>
    <mergeCell ref="B156:B156"/>
    <mergeCell ref="C156:C156"/>
    <mergeCell ref="F156:F156"/>
    <mergeCell ref="G156:G156"/>
    <mergeCell ref="H156:H156"/>
    <mergeCell ref="M156:M156"/>
    <mergeCell ref="N156:N156"/>
    <mergeCell ref="O156:O156"/>
    <mergeCell ref="P156:P156"/>
    <mergeCell ref="Q156:Q156"/>
    <mergeCell ref="R156:R156"/>
    <mergeCell ref="S156:S156"/>
    <mergeCell ref="X156:X156"/>
    <mergeCell ref="Y156:Y156"/>
    <mergeCell ref="Z156:Z156"/>
    <mergeCell ref="AA156:AA156"/>
    <mergeCell ref="AB156:AB156"/>
    <mergeCell ref="AC156:AC156"/>
    <mergeCell ref="AD156:AD156"/>
    <mergeCell ref="AE156:AE156"/>
    <mergeCell ref="AF156:AF156"/>
    <mergeCell ref="A157:A157"/>
    <mergeCell ref="B157:B157"/>
    <mergeCell ref="C157:C157"/>
    <mergeCell ref="F157:F157"/>
    <mergeCell ref="G157:G157"/>
    <mergeCell ref="H157:H157"/>
    <mergeCell ref="M157:M157"/>
    <mergeCell ref="N157:N157"/>
    <mergeCell ref="O157:O157"/>
    <mergeCell ref="P157:P157"/>
    <mergeCell ref="Q157:Q157"/>
    <mergeCell ref="R157:R157"/>
    <mergeCell ref="S157:S157"/>
    <mergeCell ref="X157:X157"/>
    <mergeCell ref="Y157:Y157"/>
    <mergeCell ref="Z157:Z157"/>
    <mergeCell ref="AA157:AA157"/>
    <mergeCell ref="AB157:AB157"/>
    <mergeCell ref="AC157:AC157"/>
    <mergeCell ref="AD157:AD157"/>
    <mergeCell ref="AE157:AE157"/>
    <mergeCell ref="AF157:AF157"/>
    <mergeCell ref="A158:A158"/>
    <mergeCell ref="B158:B158"/>
    <mergeCell ref="C158:C158"/>
    <mergeCell ref="F158:F158"/>
    <mergeCell ref="G158:G158"/>
    <mergeCell ref="H158:H158"/>
    <mergeCell ref="M158:M158"/>
    <mergeCell ref="N158:N158"/>
    <mergeCell ref="O158:O158"/>
    <mergeCell ref="P158:P158"/>
    <mergeCell ref="Q158:Q158"/>
    <mergeCell ref="R158:R158"/>
    <mergeCell ref="S158:S158"/>
    <mergeCell ref="X158:X158"/>
    <mergeCell ref="Y158:Y158"/>
    <mergeCell ref="Z158:Z158"/>
    <mergeCell ref="AA158:AA158"/>
    <mergeCell ref="AB158:AB158"/>
    <mergeCell ref="AC158:AC158"/>
    <mergeCell ref="AD158:AD158"/>
    <mergeCell ref="AE158:AE158"/>
    <mergeCell ref="AF158:AF158"/>
    <mergeCell ref="A159:A159"/>
    <mergeCell ref="B159:B159"/>
    <mergeCell ref="C159:C159"/>
    <mergeCell ref="F159:F159"/>
    <mergeCell ref="G159:G159"/>
    <mergeCell ref="H159:H159"/>
    <mergeCell ref="M159:M159"/>
    <mergeCell ref="N159:N159"/>
    <mergeCell ref="O159:O159"/>
    <mergeCell ref="P159:P159"/>
    <mergeCell ref="Q159:Q159"/>
    <mergeCell ref="R159:R159"/>
    <mergeCell ref="S159:S159"/>
    <mergeCell ref="X159:X159"/>
    <mergeCell ref="Y159:Y159"/>
    <mergeCell ref="Z159:Z159"/>
    <mergeCell ref="AA159:AA159"/>
    <mergeCell ref="AB159:AB159"/>
    <mergeCell ref="AC159:AC159"/>
    <mergeCell ref="AD159:AD159"/>
    <mergeCell ref="AE159:AE159"/>
    <mergeCell ref="AF159:AF159"/>
    <mergeCell ref="A160:A160"/>
    <mergeCell ref="B160:B160"/>
    <mergeCell ref="C160:C160"/>
    <mergeCell ref="F160:F160"/>
    <mergeCell ref="G160:G160"/>
    <mergeCell ref="H160:H160"/>
    <mergeCell ref="M160:M160"/>
    <mergeCell ref="N160:N160"/>
    <mergeCell ref="O160:O160"/>
    <mergeCell ref="P160:P160"/>
    <mergeCell ref="Q160:Q160"/>
    <mergeCell ref="R160:R160"/>
    <mergeCell ref="S160:S160"/>
    <mergeCell ref="X160:X160"/>
    <mergeCell ref="Y160:Y160"/>
    <mergeCell ref="Z160:Z160"/>
    <mergeCell ref="AA160:AA160"/>
    <mergeCell ref="AB160:AB160"/>
    <mergeCell ref="AC160:AC160"/>
    <mergeCell ref="AD160:AD160"/>
    <mergeCell ref="AE160:AE160"/>
    <mergeCell ref="AF160:AF160"/>
    <mergeCell ref="A161:A161"/>
    <mergeCell ref="B161:B161"/>
    <mergeCell ref="C161:C161"/>
    <mergeCell ref="F161:F161"/>
    <mergeCell ref="G161:G161"/>
    <mergeCell ref="H161:H161"/>
    <mergeCell ref="M161:M161"/>
    <mergeCell ref="N161:N161"/>
    <mergeCell ref="O161:O161"/>
    <mergeCell ref="P161:P161"/>
    <mergeCell ref="Q161:Q161"/>
    <mergeCell ref="R161:R161"/>
    <mergeCell ref="S161:S161"/>
    <mergeCell ref="X161:X161"/>
    <mergeCell ref="Y161:Y161"/>
    <mergeCell ref="Z161:Z161"/>
    <mergeCell ref="AA161:AA161"/>
    <mergeCell ref="AB161:AB161"/>
    <mergeCell ref="AC161:AC161"/>
    <mergeCell ref="AD161:AD161"/>
    <mergeCell ref="AE161:AE161"/>
    <mergeCell ref="AF161:AF161"/>
    <mergeCell ref="A162:A162"/>
    <mergeCell ref="B162:B162"/>
    <mergeCell ref="C162:C162"/>
    <mergeCell ref="F162:F162"/>
    <mergeCell ref="G162:G162"/>
    <mergeCell ref="H162:H162"/>
    <mergeCell ref="M162:M162"/>
    <mergeCell ref="N162:N162"/>
    <mergeCell ref="O162:O162"/>
    <mergeCell ref="P162:P162"/>
    <mergeCell ref="Q162:Q162"/>
    <mergeCell ref="R162:R162"/>
    <mergeCell ref="S162:S162"/>
    <mergeCell ref="X162:X162"/>
    <mergeCell ref="Y162:Y162"/>
    <mergeCell ref="Z162:Z162"/>
    <mergeCell ref="AA162:AA162"/>
    <mergeCell ref="AB162:AB162"/>
    <mergeCell ref="AC162:AC162"/>
    <mergeCell ref="AD162:AD162"/>
    <mergeCell ref="AE162:AE162"/>
    <mergeCell ref="AF162:AF162"/>
    <mergeCell ref="A163:A163"/>
    <mergeCell ref="B163:B163"/>
    <mergeCell ref="C163:C163"/>
    <mergeCell ref="F163:F163"/>
    <mergeCell ref="G163:G163"/>
    <mergeCell ref="H163:H163"/>
    <mergeCell ref="M163:M163"/>
    <mergeCell ref="N163:N163"/>
    <mergeCell ref="O163:O163"/>
    <mergeCell ref="P163:P163"/>
    <mergeCell ref="Q163:Q163"/>
    <mergeCell ref="R163:R163"/>
    <mergeCell ref="S163:S163"/>
    <mergeCell ref="X163:X163"/>
    <mergeCell ref="Y163:Y163"/>
    <mergeCell ref="Z163:Z163"/>
    <mergeCell ref="AA163:AA163"/>
    <mergeCell ref="AB163:AB163"/>
    <mergeCell ref="AC163:AC163"/>
    <mergeCell ref="AD163:AD163"/>
    <mergeCell ref="AE163:AE163"/>
    <mergeCell ref="AF163:AF163"/>
    <mergeCell ref="A164:A164"/>
    <mergeCell ref="B164:B164"/>
    <mergeCell ref="C164:C164"/>
    <mergeCell ref="F164:F164"/>
    <mergeCell ref="G164:G164"/>
    <mergeCell ref="H164:H164"/>
    <mergeCell ref="M164:M164"/>
    <mergeCell ref="N164:N164"/>
    <mergeCell ref="O164:O164"/>
    <mergeCell ref="P164:P164"/>
    <mergeCell ref="Q164:Q164"/>
    <mergeCell ref="R164:R164"/>
    <mergeCell ref="S164:S164"/>
    <mergeCell ref="X164:X164"/>
    <mergeCell ref="Y164:Y164"/>
    <mergeCell ref="Z164:Z164"/>
    <mergeCell ref="AA164:AA164"/>
    <mergeCell ref="AB164:AB164"/>
    <mergeCell ref="AC164:AC164"/>
    <mergeCell ref="AD164:AD164"/>
    <mergeCell ref="AE164:AE164"/>
    <mergeCell ref="AF164:AF164"/>
    <mergeCell ref="A165:A165"/>
    <mergeCell ref="B165:B165"/>
    <mergeCell ref="C165:C165"/>
    <mergeCell ref="F165:F165"/>
    <mergeCell ref="G165:G165"/>
    <mergeCell ref="H165:H165"/>
    <mergeCell ref="M165:M165"/>
    <mergeCell ref="N165:N165"/>
    <mergeCell ref="O165:O165"/>
    <mergeCell ref="P165:P165"/>
    <mergeCell ref="Q165:Q165"/>
    <mergeCell ref="R165:R165"/>
    <mergeCell ref="S165:S165"/>
    <mergeCell ref="X165:X165"/>
    <mergeCell ref="Y165:Y165"/>
    <mergeCell ref="Z165:Z165"/>
    <mergeCell ref="AA165:AA165"/>
    <mergeCell ref="AB165:AB165"/>
    <mergeCell ref="AC165:AC165"/>
    <mergeCell ref="AD165:AD165"/>
    <mergeCell ref="AE165:AE165"/>
    <mergeCell ref="AF165:AF165"/>
    <mergeCell ref="A166:A166"/>
    <mergeCell ref="B166:B166"/>
    <mergeCell ref="C166:C166"/>
    <mergeCell ref="F166:F166"/>
    <mergeCell ref="G166:G166"/>
    <mergeCell ref="H166:H166"/>
    <mergeCell ref="M166:M166"/>
    <mergeCell ref="N166:N166"/>
    <mergeCell ref="O166:O166"/>
    <mergeCell ref="P166:P166"/>
    <mergeCell ref="Q166:Q166"/>
    <mergeCell ref="R166:R166"/>
    <mergeCell ref="S166:S166"/>
    <mergeCell ref="X166:X166"/>
    <mergeCell ref="Y166:Y166"/>
    <mergeCell ref="Z166:Z166"/>
    <mergeCell ref="AA166:AA166"/>
    <mergeCell ref="AB166:AB166"/>
    <mergeCell ref="AC166:AC166"/>
    <mergeCell ref="AD166:AD166"/>
    <mergeCell ref="AE166:AE166"/>
    <mergeCell ref="AF166:AF166"/>
    <mergeCell ref="A167:A167"/>
    <mergeCell ref="B167:B167"/>
    <mergeCell ref="C167:C167"/>
    <mergeCell ref="F167:F167"/>
    <mergeCell ref="G167:G167"/>
    <mergeCell ref="H167:H167"/>
    <mergeCell ref="M167:M167"/>
    <mergeCell ref="N167:N167"/>
    <mergeCell ref="O167:O167"/>
    <mergeCell ref="P167:P167"/>
    <mergeCell ref="Q167:Q167"/>
    <mergeCell ref="R167:R167"/>
    <mergeCell ref="S167:S167"/>
    <mergeCell ref="X167:X167"/>
    <mergeCell ref="Y167:Y167"/>
    <mergeCell ref="Z167:Z167"/>
    <mergeCell ref="AA167:AA167"/>
    <mergeCell ref="AB167:AB167"/>
    <mergeCell ref="AC167:AC167"/>
    <mergeCell ref="AD167:AD167"/>
    <mergeCell ref="AE167:AE167"/>
    <mergeCell ref="AF167:AF167"/>
    <mergeCell ref="A168:A168"/>
    <mergeCell ref="B168:B168"/>
    <mergeCell ref="C168:C168"/>
    <mergeCell ref="F168:F168"/>
    <mergeCell ref="G168:G168"/>
    <mergeCell ref="H168:H168"/>
    <mergeCell ref="M168:M168"/>
    <mergeCell ref="N168:N168"/>
    <mergeCell ref="O168:O168"/>
    <mergeCell ref="P168:P168"/>
    <mergeCell ref="Q168:Q168"/>
    <mergeCell ref="R168:R168"/>
    <mergeCell ref="S168:S168"/>
    <mergeCell ref="X168:X168"/>
    <mergeCell ref="Y168:Y168"/>
    <mergeCell ref="Z168:Z168"/>
    <mergeCell ref="AA168:AA168"/>
    <mergeCell ref="AB168:AB168"/>
    <mergeCell ref="AC168:AC168"/>
    <mergeCell ref="AD168:AD168"/>
    <mergeCell ref="AE168:AE168"/>
    <mergeCell ref="AF168:AF168"/>
    <mergeCell ref="A169:A169"/>
    <mergeCell ref="B169:B169"/>
    <mergeCell ref="C169:C169"/>
    <mergeCell ref="F169:F169"/>
    <mergeCell ref="G169:G169"/>
    <mergeCell ref="H169:H169"/>
    <mergeCell ref="M169:M169"/>
    <mergeCell ref="N169:N169"/>
    <mergeCell ref="O169:O169"/>
    <mergeCell ref="P169:P169"/>
    <mergeCell ref="Q169:Q169"/>
    <mergeCell ref="R169:R169"/>
    <mergeCell ref="S169:S169"/>
    <mergeCell ref="X169:X169"/>
    <mergeCell ref="Y169:Y169"/>
    <mergeCell ref="Z169:Z169"/>
    <mergeCell ref="AA169:AA169"/>
    <mergeCell ref="AB169:AB169"/>
    <mergeCell ref="AC169:AC169"/>
    <mergeCell ref="AD169:AD169"/>
    <mergeCell ref="AE169:AE169"/>
    <mergeCell ref="AF169:AF169"/>
    <mergeCell ref="A170:A170"/>
    <mergeCell ref="B170:B170"/>
    <mergeCell ref="C170:C170"/>
    <mergeCell ref="F170:F170"/>
    <mergeCell ref="G170:G170"/>
    <mergeCell ref="H170:H170"/>
    <mergeCell ref="M170:M170"/>
    <mergeCell ref="N170:N170"/>
    <mergeCell ref="O170:O170"/>
    <mergeCell ref="P170:P170"/>
    <mergeCell ref="Q170:Q170"/>
    <mergeCell ref="R170:R170"/>
    <mergeCell ref="S170:S170"/>
    <mergeCell ref="X170:X170"/>
    <mergeCell ref="Y170:Y170"/>
    <mergeCell ref="Z170:Z170"/>
    <mergeCell ref="AA170:AA170"/>
    <mergeCell ref="AB170:AB170"/>
    <mergeCell ref="AC170:AC170"/>
    <mergeCell ref="AD170:AD170"/>
    <mergeCell ref="AE170:AE170"/>
    <mergeCell ref="AF170:AF170"/>
    <mergeCell ref="A171:A171"/>
    <mergeCell ref="B171:B171"/>
    <mergeCell ref="C171:C171"/>
    <mergeCell ref="F171:F171"/>
    <mergeCell ref="G171:G171"/>
    <mergeCell ref="H171:H171"/>
    <mergeCell ref="M171:M171"/>
    <mergeCell ref="N171:N171"/>
    <mergeCell ref="O171:O171"/>
    <mergeCell ref="P171:P171"/>
    <mergeCell ref="Q171:Q171"/>
    <mergeCell ref="R171:R171"/>
    <mergeCell ref="S171:S171"/>
    <mergeCell ref="X171:X171"/>
    <mergeCell ref="Y171:Y171"/>
    <mergeCell ref="Z171:Z171"/>
    <mergeCell ref="AA171:AA171"/>
    <mergeCell ref="AB171:AB171"/>
    <mergeCell ref="AC171:AC171"/>
    <mergeCell ref="AD171:AD171"/>
    <mergeCell ref="AE171:AE171"/>
    <mergeCell ref="AF171:AF171"/>
    <mergeCell ref="A172:A172"/>
    <mergeCell ref="B172:B172"/>
    <mergeCell ref="C172:C172"/>
    <mergeCell ref="F172:F172"/>
    <mergeCell ref="G172:G172"/>
    <mergeCell ref="H172:H172"/>
    <mergeCell ref="M172:M172"/>
    <mergeCell ref="N172:N172"/>
    <mergeCell ref="O172:O172"/>
    <mergeCell ref="P172:P172"/>
    <mergeCell ref="Q172:Q172"/>
    <mergeCell ref="R172:R172"/>
    <mergeCell ref="S172:S172"/>
    <mergeCell ref="X172:X172"/>
    <mergeCell ref="Y172:Y172"/>
    <mergeCell ref="Z172:Z172"/>
    <mergeCell ref="AA172:AA172"/>
    <mergeCell ref="AB172:AB172"/>
    <mergeCell ref="AC172:AC172"/>
    <mergeCell ref="AD172:AD172"/>
    <mergeCell ref="AE172:AE172"/>
    <mergeCell ref="AF172:AF172"/>
    <mergeCell ref="A173:A173"/>
    <mergeCell ref="B173:B173"/>
    <mergeCell ref="C173:C173"/>
    <mergeCell ref="F173:F173"/>
    <mergeCell ref="G173:G173"/>
    <mergeCell ref="H173:H173"/>
    <mergeCell ref="M173:M173"/>
    <mergeCell ref="N173:N173"/>
    <mergeCell ref="O173:O173"/>
    <mergeCell ref="P173:P173"/>
    <mergeCell ref="Q173:Q173"/>
    <mergeCell ref="R173:R173"/>
    <mergeCell ref="S173:S173"/>
    <mergeCell ref="X173:X173"/>
    <mergeCell ref="Y173:Y173"/>
    <mergeCell ref="Z173:Z173"/>
    <mergeCell ref="AA173:AA173"/>
    <mergeCell ref="AB173:AB173"/>
    <mergeCell ref="AC173:AC173"/>
    <mergeCell ref="AD173:AD173"/>
    <mergeCell ref="AE173:AE173"/>
    <mergeCell ref="AF173:AF173"/>
    <mergeCell ref="A174:A174"/>
    <mergeCell ref="B174:B174"/>
    <mergeCell ref="C174:C174"/>
    <mergeCell ref="F174:F174"/>
    <mergeCell ref="G174:G174"/>
    <mergeCell ref="H174:H174"/>
    <mergeCell ref="M174:M174"/>
    <mergeCell ref="N174:N174"/>
    <mergeCell ref="O174:O174"/>
    <mergeCell ref="P174:P174"/>
    <mergeCell ref="Q174:Q174"/>
    <mergeCell ref="R174:R174"/>
    <mergeCell ref="S174:S174"/>
    <mergeCell ref="X174:X174"/>
    <mergeCell ref="Y174:Y174"/>
    <mergeCell ref="Z174:Z174"/>
    <mergeCell ref="AA174:AA174"/>
    <mergeCell ref="AB174:AB174"/>
    <mergeCell ref="AC174:AC174"/>
    <mergeCell ref="AD174:AD174"/>
    <mergeCell ref="AE174:AE174"/>
    <mergeCell ref="AF174:AF174"/>
    <mergeCell ref="A175:A175"/>
    <mergeCell ref="B175:B175"/>
    <mergeCell ref="C175:C175"/>
    <mergeCell ref="F175:F175"/>
    <mergeCell ref="G175:G175"/>
    <mergeCell ref="H175:H175"/>
    <mergeCell ref="M175:M175"/>
    <mergeCell ref="N175:N175"/>
    <mergeCell ref="O175:O175"/>
    <mergeCell ref="P175:P175"/>
    <mergeCell ref="Q175:Q175"/>
    <mergeCell ref="R175:R175"/>
    <mergeCell ref="S175:S175"/>
    <mergeCell ref="X175:X175"/>
    <mergeCell ref="Y175:Y175"/>
    <mergeCell ref="Z175:Z175"/>
    <mergeCell ref="AA175:AA175"/>
    <mergeCell ref="AB175:AB175"/>
    <mergeCell ref="AC175:AC175"/>
    <mergeCell ref="AD175:AD175"/>
    <mergeCell ref="AE175:AE175"/>
    <mergeCell ref="AF175:AF175"/>
    <mergeCell ref="A176:A176"/>
    <mergeCell ref="B176:B176"/>
    <mergeCell ref="C176:C176"/>
    <mergeCell ref="F176:F176"/>
    <mergeCell ref="G176:G176"/>
    <mergeCell ref="H176:H176"/>
    <mergeCell ref="M176:M176"/>
    <mergeCell ref="N176:N176"/>
    <mergeCell ref="O176:O176"/>
    <mergeCell ref="P176:P176"/>
    <mergeCell ref="Q176:Q176"/>
    <mergeCell ref="R176:R176"/>
    <mergeCell ref="S176:S176"/>
    <mergeCell ref="X176:X176"/>
    <mergeCell ref="Y176:Y176"/>
    <mergeCell ref="Z176:Z176"/>
    <mergeCell ref="AA176:AA176"/>
    <mergeCell ref="AB176:AB176"/>
    <mergeCell ref="AC176:AC176"/>
    <mergeCell ref="AD176:AD176"/>
    <mergeCell ref="AE176:AE176"/>
    <mergeCell ref="AF176:AF176"/>
    <mergeCell ref="A177:A177"/>
    <mergeCell ref="B177:B177"/>
    <mergeCell ref="C177:C177"/>
    <mergeCell ref="F177:F177"/>
    <mergeCell ref="G177:G177"/>
    <mergeCell ref="H177:H177"/>
    <mergeCell ref="M177:M177"/>
    <mergeCell ref="N177:N177"/>
    <mergeCell ref="O177:O177"/>
    <mergeCell ref="P177:P177"/>
    <mergeCell ref="Q177:Q177"/>
    <mergeCell ref="R177:R177"/>
    <mergeCell ref="S177:S177"/>
    <mergeCell ref="X177:X177"/>
    <mergeCell ref="Y177:Y177"/>
    <mergeCell ref="Z177:Z177"/>
    <mergeCell ref="AA177:AA177"/>
    <mergeCell ref="AB177:AB177"/>
    <mergeCell ref="AC177:AC177"/>
    <mergeCell ref="AD177:AD177"/>
    <mergeCell ref="AE177:AE177"/>
    <mergeCell ref="AF177:AF177"/>
    <mergeCell ref="A178:A178"/>
    <mergeCell ref="B178:B178"/>
    <mergeCell ref="C178:C178"/>
    <mergeCell ref="F178:F178"/>
    <mergeCell ref="G178:G178"/>
    <mergeCell ref="H178:H178"/>
    <mergeCell ref="M178:M178"/>
    <mergeCell ref="N178:N178"/>
    <mergeCell ref="O178:O178"/>
    <mergeCell ref="P178:P178"/>
    <mergeCell ref="Q178:Q178"/>
    <mergeCell ref="R178:R178"/>
    <mergeCell ref="S178:S178"/>
    <mergeCell ref="X178:X178"/>
    <mergeCell ref="Y178:Y178"/>
    <mergeCell ref="Z178:Z178"/>
    <mergeCell ref="AA178:AA178"/>
    <mergeCell ref="AB178:AB178"/>
    <mergeCell ref="AC178:AC178"/>
    <mergeCell ref="AD178:AD178"/>
    <mergeCell ref="AE178:AE178"/>
    <mergeCell ref="AF178:AF178"/>
    <mergeCell ref="A179:A179"/>
    <mergeCell ref="B179:B179"/>
    <mergeCell ref="C179:C179"/>
    <mergeCell ref="F179:F179"/>
    <mergeCell ref="G179:G179"/>
    <mergeCell ref="H179:H179"/>
    <mergeCell ref="M179:M179"/>
    <mergeCell ref="N179:N179"/>
    <mergeCell ref="O179:O179"/>
    <mergeCell ref="P179:P179"/>
    <mergeCell ref="Q179:Q179"/>
    <mergeCell ref="R179:R179"/>
    <mergeCell ref="S179:S179"/>
    <mergeCell ref="X179:X179"/>
    <mergeCell ref="Y179:Y179"/>
    <mergeCell ref="Z179:Z179"/>
    <mergeCell ref="AA179:AA179"/>
    <mergeCell ref="AB179:AB179"/>
    <mergeCell ref="AC179:AC179"/>
    <mergeCell ref="AD179:AD179"/>
    <mergeCell ref="AE179:AE179"/>
    <mergeCell ref="AF179:AF179"/>
    <mergeCell ref="A180:A180"/>
    <mergeCell ref="B180:B180"/>
    <mergeCell ref="C180:C180"/>
    <mergeCell ref="F180:F180"/>
    <mergeCell ref="G180:G180"/>
    <mergeCell ref="H180:H180"/>
    <mergeCell ref="M180:M180"/>
    <mergeCell ref="N180:N180"/>
    <mergeCell ref="O180:O180"/>
    <mergeCell ref="P180:P180"/>
    <mergeCell ref="Q180:Q180"/>
    <mergeCell ref="R180:R180"/>
    <mergeCell ref="S180:S180"/>
    <mergeCell ref="X180:X180"/>
    <mergeCell ref="Y180:Y180"/>
    <mergeCell ref="Z180:Z180"/>
    <mergeCell ref="AA180:AA180"/>
    <mergeCell ref="AB180:AB180"/>
    <mergeCell ref="AC180:AC180"/>
    <mergeCell ref="AD180:AD180"/>
    <mergeCell ref="AE180:AE180"/>
    <mergeCell ref="AF180:AF180"/>
    <mergeCell ref="A181:A181"/>
    <mergeCell ref="B181:B181"/>
    <mergeCell ref="C181:C181"/>
    <mergeCell ref="F181:F181"/>
    <mergeCell ref="G181:G181"/>
    <mergeCell ref="H181:H181"/>
    <mergeCell ref="M181:M181"/>
    <mergeCell ref="N181:N181"/>
    <mergeCell ref="O181:O181"/>
    <mergeCell ref="P181:P181"/>
    <mergeCell ref="Q181:Q181"/>
    <mergeCell ref="R181:R181"/>
    <mergeCell ref="S181:S181"/>
    <mergeCell ref="X181:X181"/>
    <mergeCell ref="Y181:Y181"/>
    <mergeCell ref="Z181:Z181"/>
    <mergeCell ref="AA181:AA181"/>
    <mergeCell ref="AB181:AB181"/>
    <mergeCell ref="AC181:AC181"/>
    <mergeCell ref="AD181:AD181"/>
    <mergeCell ref="AE181:AE181"/>
    <mergeCell ref="AF181:AF181"/>
    <mergeCell ref="A182:A182"/>
    <mergeCell ref="B182:B182"/>
    <mergeCell ref="C182:C182"/>
    <mergeCell ref="F182:F182"/>
    <mergeCell ref="G182:G182"/>
    <mergeCell ref="H182:H182"/>
    <mergeCell ref="M182:M182"/>
    <mergeCell ref="N182:N182"/>
    <mergeCell ref="O182:O182"/>
    <mergeCell ref="P182:P182"/>
    <mergeCell ref="Q182:Q182"/>
    <mergeCell ref="R182:R182"/>
    <mergeCell ref="S182:S182"/>
    <mergeCell ref="X182:X182"/>
    <mergeCell ref="Y182:Y182"/>
    <mergeCell ref="Z182:Z182"/>
    <mergeCell ref="AA182:AA182"/>
    <mergeCell ref="AB182:AB182"/>
    <mergeCell ref="AC182:AC182"/>
    <mergeCell ref="AD182:AD182"/>
    <mergeCell ref="AE182:AE182"/>
    <mergeCell ref="AF182:AF182"/>
    <mergeCell ref="A183:A183"/>
    <mergeCell ref="B183:B183"/>
    <mergeCell ref="C183:C183"/>
    <mergeCell ref="F183:F183"/>
    <mergeCell ref="G183:G183"/>
    <mergeCell ref="H183:H183"/>
    <mergeCell ref="M183:M183"/>
    <mergeCell ref="N183:N183"/>
    <mergeCell ref="O183:O183"/>
    <mergeCell ref="P183:P183"/>
    <mergeCell ref="Q183:Q183"/>
    <mergeCell ref="R183:R183"/>
    <mergeCell ref="S183:S183"/>
    <mergeCell ref="X183:X183"/>
    <mergeCell ref="Y183:Y183"/>
    <mergeCell ref="Z183:Z183"/>
    <mergeCell ref="AA183:AA183"/>
    <mergeCell ref="AB183:AB183"/>
    <mergeCell ref="AC183:AC183"/>
    <mergeCell ref="AD183:AD183"/>
    <mergeCell ref="AE183:AE183"/>
    <mergeCell ref="AF183:AF183"/>
    <mergeCell ref="A184:A184"/>
    <mergeCell ref="B184:B184"/>
    <mergeCell ref="C184:C184"/>
    <mergeCell ref="F184:F184"/>
    <mergeCell ref="G184:G184"/>
    <mergeCell ref="H184:H184"/>
    <mergeCell ref="M184:M184"/>
    <mergeCell ref="N184:N184"/>
    <mergeCell ref="O184:O184"/>
    <mergeCell ref="P184:P184"/>
    <mergeCell ref="Q184:Q184"/>
    <mergeCell ref="R184:R184"/>
    <mergeCell ref="S184:S184"/>
    <mergeCell ref="X184:X184"/>
    <mergeCell ref="Y184:Y184"/>
    <mergeCell ref="Z184:Z184"/>
    <mergeCell ref="AA184:AA184"/>
    <mergeCell ref="AB184:AB184"/>
    <mergeCell ref="AC184:AC184"/>
    <mergeCell ref="AD184:AD184"/>
    <mergeCell ref="AE184:AE184"/>
    <mergeCell ref="AF184:AF184"/>
    <mergeCell ref="A185:A185"/>
    <mergeCell ref="B185:B185"/>
    <mergeCell ref="C185:C185"/>
    <mergeCell ref="F185:F185"/>
    <mergeCell ref="G185:G185"/>
    <mergeCell ref="H185:H185"/>
    <mergeCell ref="M185:M185"/>
    <mergeCell ref="N185:N185"/>
    <mergeCell ref="O185:O185"/>
    <mergeCell ref="P185:P185"/>
    <mergeCell ref="Q185:Q185"/>
    <mergeCell ref="R185:R185"/>
    <mergeCell ref="S185:S185"/>
    <mergeCell ref="X185:X185"/>
    <mergeCell ref="Y185:Y185"/>
    <mergeCell ref="Z185:Z185"/>
    <mergeCell ref="AA185:AA185"/>
    <mergeCell ref="AB185:AB185"/>
    <mergeCell ref="AC185:AC185"/>
    <mergeCell ref="AD185:AD185"/>
    <mergeCell ref="AE185:AE185"/>
    <mergeCell ref="AF185:AF185"/>
    <mergeCell ref="A186:A186"/>
    <mergeCell ref="B186:B186"/>
    <mergeCell ref="C186:C186"/>
    <mergeCell ref="F186:F186"/>
    <mergeCell ref="G186:G186"/>
    <mergeCell ref="H186:H186"/>
    <mergeCell ref="M186:M186"/>
    <mergeCell ref="N186:N186"/>
    <mergeCell ref="O186:O186"/>
    <mergeCell ref="P186:P186"/>
    <mergeCell ref="Q186:Q186"/>
    <mergeCell ref="R186:R186"/>
    <mergeCell ref="S186:S186"/>
    <mergeCell ref="X186:X186"/>
    <mergeCell ref="Y186:Y186"/>
    <mergeCell ref="Z186:Z186"/>
    <mergeCell ref="AA186:AA186"/>
    <mergeCell ref="AB186:AB186"/>
    <mergeCell ref="AC186:AC186"/>
    <mergeCell ref="AD186:AD186"/>
    <mergeCell ref="AE186:AE186"/>
    <mergeCell ref="AF186:AF186"/>
    <mergeCell ref="A187:A187"/>
    <mergeCell ref="B187:B187"/>
    <mergeCell ref="C187:C187"/>
    <mergeCell ref="F187:F187"/>
    <mergeCell ref="G187:G187"/>
    <mergeCell ref="H187:H187"/>
    <mergeCell ref="M187:M187"/>
    <mergeCell ref="N187:N187"/>
    <mergeCell ref="O187:O187"/>
    <mergeCell ref="P187:P187"/>
    <mergeCell ref="Q187:Q187"/>
    <mergeCell ref="R187:R187"/>
    <mergeCell ref="S187:S187"/>
    <mergeCell ref="X187:X187"/>
    <mergeCell ref="Y187:Y187"/>
    <mergeCell ref="Z187:Z187"/>
    <mergeCell ref="AA187:AA187"/>
    <mergeCell ref="AB187:AB187"/>
    <mergeCell ref="AC187:AC187"/>
    <mergeCell ref="AD187:AD187"/>
    <mergeCell ref="AE187:AE187"/>
    <mergeCell ref="AF187:AF187"/>
    <mergeCell ref="A188:A188"/>
    <mergeCell ref="B188:B188"/>
    <mergeCell ref="C188:C188"/>
    <mergeCell ref="F188:F188"/>
    <mergeCell ref="G188:G188"/>
    <mergeCell ref="H188:H188"/>
    <mergeCell ref="M188:M188"/>
    <mergeCell ref="N188:N188"/>
    <mergeCell ref="O188:O188"/>
    <mergeCell ref="P188:P188"/>
    <mergeCell ref="Q188:Q188"/>
    <mergeCell ref="R188:R188"/>
    <mergeCell ref="S188:S188"/>
    <mergeCell ref="X188:X188"/>
    <mergeCell ref="Y188:Y188"/>
    <mergeCell ref="Z188:Z188"/>
    <mergeCell ref="AA188:AA188"/>
    <mergeCell ref="AB188:AB188"/>
    <mergeCell ref="AC188:AC188"/>
    <mergeCell ref="AD188:AD188"/>
    <mergeCell ref="AE188:AE188"/>
    <mergeCell ref="AF188:AF188"/>
    <mergeCell ref="A189:A189"/>
    <mergeCell ref="B189:B189"/>
    <mergeCell ref="C189:C189"/>
    <mergeCell ref="F189:F189"/>
    <mergeCell ref="G189:G189"/>
    <mergeCell ref="H189:H189"/>
    <mergeCell ref="M189:M189"/>
    <mergeCell ref="N189:N189"/>
    <mergeCell ref="O189:O189"/>
    <mergeCell ref="P189:P189"/>
    <mergeCell ref="Q189:Q189"/>
    <mergeCell ref="R189:R189"/>
    <mergeCell ref="S189:S189"/>
    <mergeCell ref="X189:X189"/>
    <mergeCell ref="Y189:Y189"/>
    <mergeCell ref="Z189:Z189"/>
    <mergeCell ref="AA189:AA189"/>
    <mergeCell ref="AB189:AB189"/>
    <mergeCell ref="AC189:AC189"/>
    <mergeCell ref="AD189:AD189"/>
    <mergeCell ref="AE189:AE189"/>
    <mergeCell ref="AF189:AF189"/>
    <mergeCell ref="A190:A190"/>
    <mergeCell ref="B190:B190"/>
    <mergeCell ref="C190:C190"/>
    <mergeCell ref="F190:F190"/>
    <mergeCell ref="G190:G190"/>
    <mergeCell ref="H190:H190"/>
    <mergeCell ref="M190:M190"/>
    <mergeCell ref="N190:N190"/>
    <mergeCell ref="O190:O190"/>
    <mergeCell ref="P190:P190"/>
    <mergeCell ref="Q190:Q190"/>
    <mergeCell ref="R190:R190"/>
    <mergeCell ref="S190:S190"/>
    <mergeCell ref="X190:X190"/>
    <mergeCell ref="Y190:Y190"/>
    <mergeCell ref="Z190:Z190"/>
    <mergeCell ref="AA190:AA190"/>
    <mergeCell ref="AB190:AB190"/>
    <mergeCell ref="AC190:AC190"/>
    <mergeCell ref="AD190:AD190"/>
    <mergeCell ref="AE190:AE190"/>
    <mergeCell ref="AF190:AF190"/>
    <mergeCell ref="A191:A191"/>
    <mergeCell ref="B191:B191"/>
    <mergeCell ref="C191:C191"/>
    <mergeCell ref="F191:F191"/>
    <mergeCell ref="G191:G191"/>
    <mergeCell ref="H191:H191"/>
    <mergeCell ref="M191:M191"/>
    <mergeCell ref="N191:N191"/>
    <mergeCell ref="O191:O191"/>
    <mergeCell ref="P191:P191"/>
    <mergeCell ref="Q191:Q191"/>
    <mergeCell ref="R191:R191"/>
    <mergeCell ref="S191:S191"/>
    <mergeCell ref="X191:X191"/>
    <mergeCell ref="Y191:Y191"/>
    <mergeCell ref="Z191:Z191"/>
    <mergeCell ref="AA191:AA191"/>
    <mergeCell ref="AB191:AB191"/>
    <mergeCell ref="AC191:AC191"/>
    <mergeCell ref="AD191:AD191"/>
    <mergeCell ref="AE191:AE191"/>
    <mergeCell ref="AF191:AF191"/>
    <mergeCell ref="A192:A192"/>
    <mergeCell ref="B192:B192"/>
    <mergeCell ref="C192:C192"/>
    <mergeCell ref="F192:F192"/>
    <mergeCell ref="G192:G192"/>
    <mergeCell ref="H192:H192"/>
    <mergeCell ref="M192:M192"/>
    <mergeCell ref="N192:N192"/>
    <mergeCell ref="O192:O192"/>
    <mergeCell ref="P192:P192"/>
    <mergeCell ref="Q192:Q192"/>
    <mergeCell ref="R192:R192"/>
    <mergeCell ref="S192:S192"/>
    <mergeCell ref="X192:X192"/>
    <mergeCell ref="Y192:Y192"/>
    <mergeCell ref="Z192:Z192"/>
    <mergeCell ref="AA192:AA192"/>
    <mergeCell ref="AB192:AB192"/>
    <mergeCell ref="AC192:AC192"/>
    <mergeCell ref="AD192:AD192"/>
    <mergeCell ref="AE192:AE192"/>
    <mergeCell ref="AF192:AF192"/>
    <mergeCell ref="A193:A193"/>
    <mergeCell ref="B193:B193"/>
    <mergeCell ref="C193:C193"/>
    <mergeCell ref="F193:F193"/>
    <mergeCell ref="G193:G193"/>
    <mergeCell ref="H193:H193"/>
    <mergeCell ref="M193:M193"/>
    <mergeCell ref="N193:N193"/>
    <mergeCell ref="O193:O193"/>
    <mergeCell ref="P193:P193"/>
    <mergeCell ref="Q193:Q193"/>
    <mergeCell ref="R193:R193"/>
    <mergeCell ref="S193:S193"/>
    <mergeCell ref="X193:X193"/>
    <mergeCell ref="Y193:Y193"/>
    <mergeCell ref="Z193:Z193"/>
    <mergeCell ref="AA193:AA193"/>
    <mergeCell ref="AB193:AB193"/>
    <mergeCell ref="AC193:AC193"/>
    <mergeCell ref="AD193:AD193"/>
    <mergeCell ref="AE193:AE193"/>
    <mergeCell ref="AF193:AF193"/>
    <mergeCell ref="A194:A194"/>
    <mergeCell ref="B194:B194"/>
    <mergeCell ref="C194:C194"/>
    <mergeCell ref="F194:F194"/>
    <mergeCell ref="G194:G194"/>
    <mergeCell ref="H194:H194"/>
    <mergeCell ref="M194:M194"/>
    <mergeCell ref="N194:N194"/>
    <mergeCell ref="O194:O194"/>
    <mergeCell ref="P194:P194"/>
    <mergeCell ref="Q194:Q194"/>
    <mergeCell ref="R194:R194"/>
    <mergeCell ref="S194:S194"/>
    <mergeCell ref="X194:X194"/>
    <mergeCell ref="Y194:Y194"/>
    <mergeCell ref="Z194:Z194"/>
    <mergeCell ref="AA194:AA194"/>
    <mergeCell ref="AB194:AB194"/>
    <mergeCell ref="AC194:AC194"/>
    <mergeCell ref="AD194:AD194"/>
    <mergeCell ref="AE194:AE194"/>
    <mergeCell ref="AF194:AF194"/>
    <mergeCell ref="A195:A195"/>
    <mergeCell ref="B195:B195"/>
    <mergeCell ref="C195:C195"/>
    <mergeCell ref="F195:F195"/>
    <mergeCell ref="G195:G195"/>
    <mergeCell ref="H195:H195"/>
    <mergeCell ref="M195:M195"/>
    <mergeCell ref="N195:N195"/>
    <mergeCell ref="O195:O195"/>
    <mergeCell ref="P195:P195"/>
    <mergeCell ref="Q195:Q195"/>
    <mergeCell ref="R195:R195"/>
    <mergeCell ref="S195:S195"/>
    <mergeCell ref="X195:X195"/>
    <mergeCell ref="Y195:Y195"/>
    <mergeCell ref="Z195:Z195"/>
    <mergeCell ref="AA195:AA195"/>
    <mergeCell ref="AB195:AB195"/>
    <mergeCell ref="AC195:AC195"/>
    <mergeCell ref="AD195:AD195"/>
    <mergeCell ref="AE195:AE195"/>
    <mergeCell ref="AF195:AF195"/>
    <mergeCell ref="A196:A196"/>
    <mergeCell ref="B196:B196"/>
    <mergeCell ref="C196:C196"/>
    <mergeCell ref="F196:F196"/>
    <mergeCell ref="G196:G196"/>
    <mergeCell ref="H196:H196"/>
    <mergeCell ref="M196:M196"/>
    <mergeCell ref="N196:N196"/>
    <mergeCell ref="O196:O196"/>
    <mergeCell ref="P196:P196"/>
    <mergeCell ref="Q196:Q196"/>
    <mergeCell ref="R196:R196"/>
    <mergeCell ref="S196:S196"/>
    <mergeCell ref="X196:X196"/>
    <mergeCell ref="Y196:Y196"/>
    <mergeCell ref="Z196:Z196"/>
    <mergeCell ref="AA196:AA196"/>
    <mergeCell ref="AB196:AB196"/>
    <mergeCell ref="AC196:AC196"/>
    <mergeCell ref="AD196:AD196"/>
    <mergeCell ref="AE196:AE196"/>
    <mergeCell ref="AF196:AF196"/>
    <mergeCell ref="A197:A197"/>
    <mergeCell ref="B197:B197"/>
    <mergeCell ref="C197:C197"/>
    <mergeCell ref="F197:F197"/>
    <mergeCell ref="G197:G197"/>
    <mergeCell ref="H197:H197"/>
    <mergeCell ref="M197:M197"/>
    <mergeCell ref="N197:N197"/>
    <mergeCell ref="O197:O197"/>
    <mergeCell ref="P197:P197"/>
    <mergeCell ref="Q197:Q197"/>
    <mergeCell ref="R197:R197"/>
    <mergeCell ref="S197:S197"/>
    <mergeCell ref="X197:X197"/>
    <mergeCell ref="Y197:Y197"/>
    <mergeCell ref="Z197:Z197"/>
    <mergeCell ref="AA197:AA197"/>
    <mergeCell ref="AB197:AB197"/>
    <mergeCell ref="AC197:AC197"/>
    <mergeCell ref="AD197:AD197"/>
    <mergeCell ref="AE197:AE197"/>
    <mergeCell ref="AF197:AF197"/>
    <mergeCell ref="A198:A198"/>
    <mergeCell ref="B198:B198"/>
    <mergeCell ref="C198:C198"/>
    <mergeCell ref="F198:F198"/>
    <mergeCell ref="G198:G198"/>
    <mergeCell ref="H198:H198"/>
    <mergeCell ref="M198:M198"/>
    <mergeCell ref="N198:N198"/>
    <mergeCell ref="O198:O198"/>
    <mergeCell ref="P198:P198"/>
    <mergeCell ref="Q198:Q198"/>
    <mergeCell ref="R198:R198"/>
    <mergeCell ref="S198:S198"/>
    <mergeCell ref="X198:X198"/>
    <mergeCell ref="Y198:Y198"/>
    <mergeCell ref="Z198:Z198"/>
    <mergeCell ref="AA198:AA198"/>
    <mergeCell ref="AB198:AB198"/>
    <mergeCell ref="AC198:AC198"/>
    <mergeCell ref="AD198:AD198"/>
    <mergeCell ref="AE198:AE198"/>
    <mergeCell ref="AF198:AF198"/>
    <mergeCell ref="A199:A199"/>
    <mergeCell ref="B199:B199"/>
    <mergeCell ref="C199:C199"/>
    <mergeCell ref="F199:F199"/>
    <mergeCell ref="G199:G199"/>
    <mergeCell ref="H199:H199"/>
    <mergeCell ref="M199:M199"/>
    <mergeCell ref="N199:N199"/>
    <mergeCell ref="O199:O199"/>
    <mergeCell ref="P199:P199"/>
    <mergeCell ref="Q199:Q199"/>
    <mergeCell ref="R199:R199"/>
    <mergeCell ref="S199:S199"/>
    <mergeCell ref="X199:X199"/>
    <mergeCell ref="Y199:Y199"/>
    <mergeCell ref="Z199:Z199"/>
    <mergeCell ref="AA199:AA199"/>
    <mergeCell ref="AB199:AB199"/>
    <mergeCell ref="AC199:AC199"/>
    <mergeCell ref="AD199:AD199"/>
    <mergeCell ref="AE199:AE199"/>
    <mergeCell ref="AF199:AF199"/>
    <mergeCell ref="A200:A200"/>
    <mergeCell ref="B200:B200"/>
    <mergeCell ref="C200:C200"/>
    <mergeCell ref="F200:F200"/>
    <mergeCell ref="G200:G200"/>
    <mergeCell ref="H200:H200"/>
    <mergeCell ref="M200:M200"/>
    <mergeCell ref="N200:N200"/>
    <mergeCell ref="O200:O200"/>
    <mergeCell ref="P200:P200"/>
    <mergeCell ref="Q200:Q200"/>
    <mergeCell ref="R200:R200"/>
    <mergeCell ref="S200:S200"/>
    <mergeCell ref="X200:X200"/>
    <mergeCell ref="Y200:Y200"/>
    <mergeCell ref="Z200:Z200"/>
    <mergeCell ref="AA200:AA200"/>
    <mergeCell ref="AB200:AB200"/>
    <mergeCell ref="AC200:AC200"/>
    <mergeCell ref="AD200:AD200"/>
    <mergeCell ref="AE200:AE200"/>
    <mergeCell ref="AF200:AF200"/>
    <mergeCell ref="A201:A201"/>
    <mergeCell ref="B201:B201"/>
    <mergeCell ref="C201:C201"/>
    <mergeCell ref="F201:F201"/>
    <mergeCell ref="G201:G201"/>
    <mergeCell ref="H201:H201"/>
    <mergeCell ref="M201:M201"/>
    <mergeCell ref="N201:N201"/>
    <mergeCell ref="O201:O201"/>
    <mergeCell ref="P201:P201"/>
    <mergeCell ref="Q201:Q201"/>
    <mergeCell ref="R201:R201"/>
    <mergeCell ref="S201:S201"/>
    <mergeCell ref="X201:X201"/>
    <mergeCell ref="Y201:Y201"/>
    <mergeCell ref="Z201:Z201"/>
    <mergeCell ref="AA201:AA201"/>
    <mergeCell ref="AB201:AB201"/>
    <mergeCell ref="AC201:AC201"/>
    <mergeCell ref="AD201:AD201"/>
    <mergeCell ref="AE201:AE201"/>
    <mergeCell ref="AF201:AF201"/>
    <mergeCell ref="A202:A202"/>
    <mergeCell ref="B202:B202"/>
    <mergeCell ref="C202:C202"/>
    <mergeCell ref="F202:F202"/>
    <mergeCell ref="G202:G202"/>
    <mergeCell ref="H202:H202"/>
    <mergeCell ref="M202:M202"/>
    <mergeCell ref="N202:N202"/>
    <mergeCell ref="O202:O202"/>
    <mergeCell ref="P202:P202"/>
    <mergeCell ref="Q202:Q202"/>
    <mergeCell ref="R202:R202"/>
    <mergeCell ref="S202:S202"/>
    <mergeCell ref="X202:X202"/>
    <mergeCell ref="Y202:Y202"/>
    <mergeCell ref="Z202:Z202"/>
    <mergeCell ref="AA202:AA202"/>
    <mergeCell ref="AB202:AB202"/>
    <mergeCell ref="AC202:AC202"/>
    <mergeCell ref="AD202:AD202"/>
    <mergeCell ref="AE202:AE202"/>
    <mergeCell ref="AF202:AF202"/>
    <mergeCell ref="A203:A203"/>
    <mergeCell ref="B203:B203"/>
    <mergeCell ref="C203:C203"/>
    <mergeCell ref="F203:F203"/>
    <mergeCell ref="G203:G203"/>
    <mergeCell ref="H203:H203"/>
    <mergeCell ref="M203:M203"/>
    <mergeCell ref="N203:N203"/>
    <mergeCell ref="O203:O203"/>
    <mergeCell ref="P203:P203"/>
    <mergeCell ref="Q203:Q203"/>
    <mergeCell ref="R203:R203"/>
    <mergeCell ref="S203:S203"/>
    <mergeCell ref="X203:X203"/>
    <mergeCell ref="Y203:Y203"/>
    <mergeCell ref="Z203:Z203"/>
    <mergeCell ref="AA203:AA203"/>
    <mergeCell ref="AB203:AB203"/>
    <mergeCell ref="AC203:AC203"/>
    <mergeCell ref="AD203:AD203"/>
    <mergeCell ref="AE203:AE203"/>
    <mergeCell ref="AF203:AF203"/>
    <mergeCell ref="A204:A204"/>
    <mergeCell ref="B204:B204"/>
    <mergeCell ref="C204:C204"/>
    <mergeCell ref="F204:F204"/>
    <mergeCell ref="G204:G204"/>
    <mergeCell ref="H204:H204"/>
    <mergeCell ref="M204:M204"/>
    <mergeCell ref="N204:N204"/>
    <mergeCell ref="O204:O204"/>
    <mergeCell ref="P204:P204"/>
    <mergeCell ref="Q204:Q204"/>
    <mergeCell ref="R204:R204"/>
    <mergeCell ref="S204:S204"/>
    <mergeCell ref="X204:X204"/>
    <mergeCell ref="Y204:Y204"/>
    <mergeCell ref="Z204:Z204"/>
    <mergeCell ref="AA204:AA204"/>
    <mergeCell ref="AB204:AB204"/>
    <mergeCell ref="AC204:AC204"/>
    <mergeCell ref="AD204:AD204"/>
    <mergeCell ref="AE204:AE204"/>
    <mergeCell ref="AF204:AF204"/>
    <mergeCell ref="A205:A205"/>
    <mergeCell ref="B205:B205"/>
    <mergeCell ref="C205:C205"/>
    <mergeCell ref="F205:F205"/>
    <mergeCell ref="G205:G205"/>
    <mergeCell ref="H205:H205"/>
    <mergeCell ref="M205:M205"/>
    <mergeCell ref="N205:N205"/>
    <mergeCell ref="O205:O205"/>
    <mergeCell ref="P205:P205"/>
    <mergeCell ref="Q205:Q205"/>
    <mergeCell ref="R205:R205"/>
    <mergeCell ref="S205:S205"/>
    <mergeCell ref="X205:X205"/>
    <mergeCell ref="Y205:Y205"/>
    <mergeCell ref="Z205:Z205"/>
    <mergeCell ref="AA205:AA205"/>
    <mergeCell ref="AB205:AB205"/>
    <mergeCell ref="AC205:AC205"/>
    <mergeCell ref="AD205:AD205"/>
    <mergeCell ref="AE205:AE205"/>
    <mergeCell ref="AF205:AF205"/>
    <mergeCell ref="A206:A206"/>
    <mergeCell ref="B206:B206"/>
    <mergeCell ref="C206:C206"/>
    <mergeCell ref="F206:F206"/>
    <mergeCell ref="G206:G206"/>
    <mergeCell ref="H206:H206"/>
    <mergeCell ref="M206:M206"/>
    <mergeCell ref="N206:N206"/>
    <mergeCell ref="O206:O206"/>
    <mergeCell ref="P206:P206"/>
    <mergeCell ref="Q206:Q206"/>
    <mergeCell ref="R206:R206"/>
    <mergeCell ref="S206:S206"/>
    <mergeCell ref="X206:X206"/>
    <mergeCell ref="Y206:Y206"/>
    <mergeCell ref="Z206:Z206"/>
    <mergeCell ref="AA206:AA206"/>
    <mergeCell ref="AB206:AB206"/>
    <mergeCell ref="AC206:AC206"/>
    <mergeCell ref="AD206:AD206"/>
    <mergeCell ref="AE206:AE206"/>
    <mergeCell ref="AF206:AF206"/>
    <mergeCell ref="A207:A207"/>
    <mergeCell ref="B207:B207"/>
    <mergeCell ref="C207:C207"/>
    <mergeCell ref="F207:F207"/>
    <mergeCell ref="G207:G207"/>
    <mergeCell ref="H207:H207"/>
    <mergeCell ref="M207:M207"/>
    <mergeCell ref="N207:N207"/>
    <mergeCell ref="O207:O207"/>
    <mergeCell ref="P207:P207"/>
    <mergeCell ref="Q207:Q207"/>
    <mergeCell ref="R207:R207"/>
    <mergeCell ref="S207:S207"/>
    <mergeCell ref="X207:X207"/>
    <mergeCell ref="Y207:Y207"/>
    <mergeCell ref="Z207:Z207"/>
    <mergeCell ref="AA207:AA207"/>
    <mergeCell ref="AB207:AB207"/>
    <mergeCell ref="AC207:AC207"/>
    <mergeCell ref="AD207:AD207"/>
    <mergeCell ref="AE207:AE207"/>
    <mergeCell ref="AF207:AF207"/>
    <mergeCell ref="A208:A208"/>
    <mergeCell ref="B208:B208"/>
    <mergeCell ref="C208:C208"/>
    <mergeCell ref="F208:F208"/>
    <mergeCell ref="G208:G208"/>
    <mergeCell ref="H208:H208"/>
    <mergeCell ref="M208:M208"/>
    <mergeCell ref="N208:N208"/>
    <mergeCell ref="O208:O208"/>
    <mergeCell ref="P208:P208"/>
    <mergeCell ref="Q208:Q208"/>
    <mergeCell ref="R208:R208"/>
    <mergeCell ref="S208:S208"/>
    <mergeCell ref="X208:X208"/>
    <mergeCell ref="Y208:Y208"/>
    <mergeCell ref="Z208:Z208"/>
    <mergeCell ref="AA208:AA208"/>
    <mergeCell ref="AB208:AB208"/>
    <mergeCell ref="AC208:AC208"/>
    <mergeCell ref="AD208:AD208"/>
    <mergeCell ref="AE208:AE208"/>
    <mergeCell ref="AF208:AF208"/>
    <mergeCell ref="A209:A209"/>
    <mergeCell ref="B209:B209"/>
    <mergeCell ref="C209:C209"/>
    <mergeCell ref="F209:F209"/>
    <mergeCell ref="G209:G209"/>
    <mergeCell ref="H209:H209"/>
    <mergeCell ref="M209:M209"/>
    <mergeCell ref="N209:N209"/>
    <mergeCell ref="O209:O209"/>
    <mergeCell ref="P209:P209"/>
    <mergeCell ref="Q209:Q209"/>
    <mergeCell ref="R209:R209"/>
    <mergeCell ref="S209:S209"/>
    <mergeCell ref="X209:X209"/>
    <mergeCell ref="Y209:Y209"/>
    <mergeCell ref="Z209:Z209"/>
    <mergeCell ref="AA209:AA209"/>
    <mergeCell ref="AB209:AB209"/>
    <mergeCell ref="AC209:AC209"/>
    <mergeCell ref="AD209:AD209"/>
    <mergeCell ref="AE209:AE209"/>
    <mergeCell ref="AF209:AF209"/>
    <mergeCell ref="A210:A210"/>
    <mergeCell ref="B210:B210"/>
    <mergeCell ref="C210:C210"/>
    <mergeCell ref="F210:F210"/>
    <mergeCell ref="G210:G210"/>
    <mergeCell ref="H210:H210"/>
    <mergeCell ref="M210:M210"/>
    <mergeCell ref="N210:N210"/>
    <mergeCell ref="O210:O210"/>
    <mergeCell ref="P210:P210"/>
    <mergeCell ref="Q210:Q210"/>
    <mergeCell ref="R210:R210"/>
    <mergeCell ref="S210:S210"/>
    <mergeCell ref="X210:X210"/>
    <mergeCell ref="Y210:Y210"/>
    <mergeCell ref="Z210:Z210"/>
    <mergeCell ref="AA210:AA210"/>
    <mergeCell ref="AB210:AB210"/>
    <mergeCell ref="AC210:AC210"/>
    <mergeCell ref="AD210:AD210"/>
    <mergeCell ref="AE210:AE210"/>
    <mergeCell ref="AF210:AF210"/>
    <mergeCell ref="A211:A211"/>
    <mergeCell ref="B211:B211"/>
    <mergeCell ref="C211:C211"/>
    <mergeCell ref="F211:F211"/>
    <mergeCell ref="G211:G211"/>
    <mergeCell ref="H211:H211"/>
    <mergeCell ref="M211:M211"/>
    <mergeCell ref="N211:N211"/>
    <mergeCell ref="O211:O211"/>
    <mergeCell ref="P211:P211"/>
    <mergeCell ref="Q211:Q211"/>
    <mergeCell ref="R211:R211"/>
    <mergeCell ref="S211:S211"/>
    <mergeCell ref="X211:X211"/>
    <mergeCell ref="Y211:Y211"/>
    <mergeCell ref="Z211:Z211"/>
    <mergeCell ref="AA211:AA211"/>
    <mergeCell ref="AB211:AB211"/>
    <mergeCell ref="AC211:AC211"/>
    <mergeCell ref="AD211:AD211"/>
    <mergeCell ref="AE211:AE211"/>
    <mergeCell ref="AF211:AF211"/>
    <mergeCell ref="A212:A212"/>
    <mergeCell ref="B212:B212"/>
    <mergeCell ref="C212:C212"/>
    <mergeCell ref="F212:F212"/>
    <mergeCell ref="G212:G212"/>
    <mergeCell ref="H212:H212"/>
    <mergeCell ref="M212:M212"/>
    <mergeCell ref="N212:N212"/>
    <mergeCell ref="O212:O212"/>
    <mergeCell ref="P212:P212"/>
    <mergeCell ref="Q212:Q212"/>
    <mergeCell ref="R212:R212"/>
    <mergeCell ref="S212:S212"/>
    <mergeCell ref="X212:X212"/>
    <mergeCell ref="Y212:Y212"/>
    <mergeCell ref="Z212:Z212"/>
    <mergeCell ref="AA212:AA212"/>
    <mergeCell ref="AB212:AB212"/>
    <mergeCell ref="AC212:AC212"/>
    <mergeCell ref="AD212:AD212"/>
    <mergeCell ref="AE212:AE212"/>
    <mergeCell ref="AF212:AF212"/>
    <mergeCell ref="A213:A213"/>
    <mergeCell ref="B213:B213"/>
    <mergeCell ref="C213:C213"/>
    <mergeCell ref="F213:F213"/>
    <mergeCell ref="G213:G213"/>
    <mergeCell ref="H213:H213"/>
    <mergeCell ref="M213:M213"/>
    <mergeCell ref="N213:N213"/>
    <mergeCell ref="O213:O213"/>
    <mergeCell ref="P213:P213"/>
    <mergeCell ref="Q213:Q213"/>
    <mergeCell ref="R213:R213"/>
    <mergeCell ref="S213:S213"/>
    <mergeCell ref="X213:X213"/>
    <mergeCell ref="Y213:Y213"/>
    <mergeCell ref="Z213:Z213"/>
    <mergeCell ref="AA213:AA213"/>
    <mergeCell ref="AB213:AB213"/>
    <mergeCell ref="AC213:AC213"/>
    <mergeCell ref="AD213:AD213"/>
    <mergeCell ref="AE213:AE213"/>
    <mergeCell ref="AF213:AF213"/>
    <mergeCell ref="A214:A214"/>
    <mergeCell ref="B214:B214"/>
    <mergeCell ref="C214:C214"/>
    <mergeCell ref="F214:F214"/>
    <mergeCell ref="G214:G214"/>
    <mergeCell ref="H214:H214"/>
    <mergeCell ref="M214:M214"/>
    <mergeCell ref="N214:N214"/>
    <mergeCell ref="O214:O214"/>
    <mergeCell ref="P214:P214"/>
    <mergeCell ref="Q214:Q214"/>
    <mergeCell ref="R214:R214"/>
    <mergeCell ref="S214:S214"/>
    <mergeCell ref="X214:X214"/>
    <mergeCell ref="Y214:Y214"/>
    <mergeCell ref="Z214:Z214"/>
    <mergeCell ref="AA214:AA214"/>
    <mergeCell ref="AB214:AB214"/>
    <mergeCell ref="AC214:AC214"/>
    <mergeCell ref="AD214:AD214"/>
    <mergeCell ref="AE214:AE214"/>
    <mergeCell ref="AF214:AF214"/>
    <mergeCell ref="A215:A215"/>
    <mergeCell ref="B215:B215"/>
    <mergeCell ref="C215:C215"/>
    <mergeCell ref="F215:F215"/>
    <mergeCell ref="G215:G215"/>
    <mergeCell ref="H215:H215"/>
    <mergeCell ref="M215:M215"/>
    <mergeCell ref="N215:N215"/>
    <mergeCell ref="O215:O215"/>
    <mergeCell ref="P215:P215"/>
    <mergeCell ref="Q215:Q215"/>
    <mergeCell ref="R215:R215"/>
    <mergeCell ref="S215:S215"/>
    <mergeCell ref="X215:X215"/>
    <mergeCell ref="Y215:Y215"/>
    <mergeCell ref="Z215:Z215"/>
    <mergeCell ref="AA215:AA215"/>
    <mergeCell ref="AB215:AB215"/>
    <mergeCell ref="AC215:AC215"/>
    <mergeCell ref="AD215:AD215"/>
    <mergeCell ref="AE215:AE215"/>
    <mergeCell ref="AF215:AF215"/>
    <mergeCell ref="A216:A216"/>
    <mergeCell ref="B216:B216"/>
    <mergeCell ref="C216:C216"/>
    <mergeCell ref="F216:F216"/>
    <mergeCell ref="G216:G216"/>
    <mergeCell ref="H216:H216"/>
    <mergeCell ref="M216:M216"/>
    <mergeCell ref="N216:N216"/>
    <mergeCell ref="O216:O216"/>
    <mergeCell ref="P216:P216"/>
    <mergeCell ref="Q216:Q216"/>
    <mergeCell ref="R216:R216"/>
    <mergeCell ref="S216:S216"/>
    <mergeCell ref="X216:X216"/>
    <mergeCell ref="Y216:Y216"/>
    <mergeCell ref="Z216:Z216"/>
    <mergeCell ref="AA216:AA216"/>
    <mergeCell ref="AB216:AB216"/>
    <mergeCell ref="AC216:AC216"/>
    <mergeCell ref="AD216:AD216"/>
    <mergeCell ref="AE216:AE216"/>
    <mergeCell ref="AF216:AF216"/>
    <mergeCell ref="A217:A217"/>
    <mergeCell ref="B217:B217"/>
    <mergeCell ref="C217:C217"/>
    <mergeCell ref="F217:F217"/>
    <mergeCell ref="G217:G217"/>
    <mergeCell ref="H217:H217"/>
    <mergeCell ref="M217:M217"/>
    <mergeCell ref="N217:N217"/>
    <mergeCell ref="O217:O217"/>
    <mergeCell ref="P217:P217"/>
    <mergeCell ref="Q217:Q217"/>
    <mergeCell ref="R217:R217"/>
    <mergeCell ref="S217:S217"/>
    <mergeCell ref="X217:X217"/>
    <mergeCell ref="Y217:Y217"/>
    <mergeCell ref="Z217:Z217"/>
    <mergeCell ref="AA217:AA217"/>
    <mergeCell ref="AB217:AB217"/>
    <mergeCell ref="AC217:AC217"/>
    <mergeCell ref="AD217:AD217"/>
    <mergeCell ref="AE217:AE217"/>
    <mergeCell ref="AF217:AF217"/>
    <mergeCell ref="A218:A218"/>
    <mergeCell ref="B218:B218"/>
    <mergeCell ref="C218:C218"/>
    <mergeCell ref="F218:F218"/>
    <mergeCell ref="G218:G218"/>
    <mergeCell ref="H218:H218"/>
    <mergeCell ref="M218:M218"/>
    <mergeCell ref="N218:N218"/>
    <mergeCell ref="O218:O218"/>
    <mergeCell ref="P218:P218"/>
    <mergeCell ref="Q218:Q218"/>
    <mergeCell ref="R218:R218"/>
    <mergeCell ref="S218:S218"/>
    <mergeCell ref="X218:X218"/>
    <mergeCell ref="Y218:Y218"/>
    <mergeCell ref="Z218:Z218"/>
    <mergeCell ref="AA218:AA218"/>
    <mergeCell ref="AB218:AB218"/>
    <mergeCell ref="AC218:AC218"/>
    <mergeCell ref="AD218:AD218"/>
    <mergeCell ref="AE218:AE218"/>
    <mergeCell ref="AF218:AF218"/>
    <mergeCell ref="A219:A219"/>
    <mergeCell ref="B219:B219"/>
    <mergeCell ref="C219:C219"/>
    <mergeCell ref="F219:F219"/>
    <mergeCell ref="G219:G219"/>
    <mergeCell ref="H219:H219"/>
    <mergeCell ref="M219:M219"/>
    <mergeCell ref="N219:N219"/>
    <mergeCell ref="O219:O219"/>
    <mergeCell ref="P219:P219"/>
    <mergeCell ref="Q219:Q219"/>
    <mergeCell ref="R219:R219"/>
    <mergeCell ref="S219:S219"/>
    <mergeCell ref="X219:X219"/>
    <mergeCell ref="Y219:Y219"/>
    <mergeCell ref="Z219:Z219"/>
    <mergeCell ref="AA219:AA219"/>
    <mergeCell ref="AB219:AB219"/>
    <mergeCell ref="AC219:AC219"/>
    <mergeCell ref="AD219:AD219"/>
    <mergeCell ref="AE219:AE219"/>
    <mergeCell ref="AF219:AF219"/>
    <mergeCell ref="A220:A220"/>
    <mergeCell ref="B220:B220"/>
    <mergeCell ref="C220:C220"/>
    <mergeCell ref="F220:F220"/>
    <mergeCell ref="G220:G220"/>
    <mergeCell ref="H220:H220"/>
    <mergeCell ref="M220:M220"/>
    <mergeCell ref="N220:N220"/>
    <mergeCell ref="O220:O220"/>
    <mergeCell ref="P220:P220"/>
    <mergeCell ref="Q220:Q220"/>
    <mergeCell ref="R220:R220"/>
    <mergeCell ref="S220:S220"/>
    <mergeCell ref="X220:X220"/>
    <mergeCell ref="Y220:Y220"/>
    <mergeCell ref="Z220:Z220"/>
    <mergeCell ref="AA220:AA220"/>
    <mergeCell ref="AB220:AB220"/>
    <mergeCell ref="AC220:AC220"/>
    <mergeCell ref="AD220:AD220"/>
    <mergeCell ref="AE220:AE220"/>
    <mergeCell ref="AF220:AF220"/>
    <mergeCell ref="A221:A221"/>
    <mergeCell ref="B221:B221"/>
    <mergeCell ref="C221:C221"/>
    <mergeCell ref="F221:F221"/>
    <mergeCell ref="G221:G221"/>
    <mergeCell ref="H221:H221"/>
    <mergeCell ref="M221:M221"/>
    <mergeCell ref="N221:N221"/>
    <mergeCell ref="O221:O221"/>
    <mergeCell ref="P221:P221"/>
    <mergeCell ref="Q221:Q221"/>
    <mergeCell ref="R221:R221"/>
    <mergeCell ref="S221:S221"/>
    <mergeCell ref="X221:X221"/>
    <mergeCell ref="Y221:Y221"/>
    <mergeCell ref="Z221:Z221"/>
    <mergeCell ref="AA221:AA221"/>
    <mergeCell ref="AB221:AB221"/>
    <mergeCell ref="AC221:AC221"/>
    <mergeCell ref="AD221:AD221"/>
    <mergeCell ref="AE221:AE221"/>
    <mergeCell ref="AF221:AF221"/>
    <mergeCell ref="A222:A222"/>
    <mergeCell ref="B222:B222"/>
    <mergeCell ref="C222:C222"/>
    <mergeCell ref="F222:F222"/>
    <mergeCell ref="G222:G222"/>
    <mergeCell ref="H222:H222"/>
    <mergeCell ref="M222:M222"/>
    <mergeCell ref="N222:N222"/>
    <mergeCell ref="O222:O222"/>
    <mergeCell ref="P222:P222"/>
    <mergeCell ref="Q222:Q222"/>
    <mergeCell ref="R222:R222"/>
    <mergeCell ref="S222:S222"/>
    <mergeCell ref="X222:X222"/>
    <mergeCell ref="Y222:Y222"/>
    <mergeCell ref="Z222:Z222"/>
    <mergeCell ref="AA222:AA222"/>
    <mergeCell ref="AB222:AB222"/>
    <mergeCell ref="AC222:AC222"/>
    <mergeCell ref="AD222:AD222"/>
    <mergeCell ref="AE222:AE222"/>
    <mergeCell ref="AF222:AF222"/>
    <mergeCell ref="A223:A223"/>
    <mergeCell ref="B223:B223"/>
    <mergeCell ref="C223:C223"/>
    <mergeCell ref="F223:F223"/>
    <mergeCell ref="G223:G223"/>
    <mergeCell ref="H223:H223"/>
    <mergeCell ref="M223:M223"/>
    <mergeCell ref="N223:N223"/>
    <mergeCell ref="O223:O223"/>
    <mergeCell ref="P223:P223"/>
    <mergeCell ref="Q223:Q223"/>
    <mergeCell ref="R223:R223"/>
    <mergeCell ref="S223:S223"/>
    <mergeCell ref="X223:X223"/>
    <mergeCell ref="Y223:Y223"/>
    <mergeCell ref="Z223:Z223"/>
    <mergeCell ref="AA223:AA223"/>
    <mergeCell ref="AB223:AB223"/>
    <mergeCell ref="AC223:AC223"/>
    <mergeCell ref="AD223:AD223"/>
    <mergeCell ref="AE223:AE223"/>
    <mergeCell ref="AF223:AF223"/>
    <mergeCell ref="A224:A224"/>
    <mergeCell ref="B224:B224"/>
    <mergeCell ref="C224:C224"/>
    <mergeCell ref="F224:F224"/>
    <mergeCell ref="G224:G224"/>
    <mergeCell ref="H224:H224"/>
    <mergeCell ref="M224:M224"/>
    <mergeCell ref="N224:N224"/>
    <mergeCell ref="O224:O224"/>
    <mergeCell ref="P224:P224"/>
    <mergeCell ref="Q224:Q224"/>
    <mergeCell ref="R224:R224"/>
    <mergeCell ref="S224:S224"/>
    <mergeCell ref="X224:X224"/>
    <mergeCell ref="Y224:Y224"/>
    <mergeCell ref="Z224:Z224"/>
    <mergeCell ref="AA224:AA224"/>
    <mergeCell ref="AB224:AB224"/>
    <mergeCell ref="AC224:AC224"/>
    <mergeCell ref="AD224:AD224"/>
    <mergeCell ref="AE224:AE224"/>
    <mergeCell ref="AF224:AF224"/>
    <mergeCell ref="A225:A225"/>
    <mergeCell ref="B225:B225"/>
    <mergeCell ref="C225:C225"/>
    <mergeCell ref="F225:F225"/>
    <mergeCell ref="G225:G225"/>
    <mergeCell ref="H225:H225"/>
    <mergeCell ref="M225:M225"/>
    <mergeCell ref="N225:N225"/>
    <mergeCell ref="O225:O225"/>
    <mergeCell ref="P225:P225"/>
    <mergeCell ref="Q225:Q225"/>
    <mergeCell ref="R225:R225"/>
    <mergeCell ref="S225:S225"/>
    <mergeCell ref="X225:X225"/>
    <mergeCell ref="Y225:Y225"/>
    <mergeCell ref="Z225:Z225"/>
    <mergeCell ref="AA225:AA225"/>
    <mergeCell ref="AB225:AB225"/>
    <mergeCell ref="AC225:AC225"/>
    <mergeCell ref="AD225:AD225"/>
    <mergeCell ref="AE225:AE225"/>
    <mergeCell ref="AF225:AF225"/>
    <mergeCell ref="A226:A226"/>
    <mergeCell ref="B226:B226"/>
    <mergeCell ref="C226:C226"/>
    <mergeCell ref="F226:F226"/>
    <mergeCell ref="G226:G226"/>
    <mergeCell ref="H226:H226"/>
    <mergeCell ref="M226:M226"/>
    <mergeCell ref="N226:N226"/>
    <mergeCell ref="O226:O226"/>
    <mergeCell ref="P226:P226"/>
    <mergeCell ref="Q226:Q226"/>
    <mergeCell ref="R226:R226"/>
    <mergeCell ref="S226:S226"/>
    <mergeCell ref="X226:X226"/>
    <mergeCell ref="Y226:Y226"/>
    <mergeCell ref="Z226:Z226"/>
    <mergeCell ref="AA226:AA226"/>
    <mergeCell ref="AB226:AB226"/>
    <mergeCell ref="AC226:AC226"/>
    <mergeCell ref="AD226:AD226"/>
    <mergeCell ref="AE226:AE226"/>
    <mergeCell ref="AF226:AF226"/>
    <mergeCell ref="A227:A227"/>
    <mergeCell ref="B227:B227"/>
    <mergeCell ref="C227:C227"/>
    <mergeCell ref="F227:F227"/>
    <mergeCell ref="G227:G227"/>
    <mergeCell ref="H227:H227"/>
    <mergeCell ref="M227:M227"/>
    <mergeCell ref="N227:N227"/>
    <mergeCell ref="O227:O227"/>
    <mergeCell ref="P227:P227"/>
    <mergeCell ref="Q227:Q227"/>
    <mergeCell ref="R227:R227"/>
    <mergeCell ref="S227:S227"/>
    <mergeCell ref="X227:X227"/>
    <mergeCell ref="Y227:Y227"/>
    <mergeCell ref="Z227:Z227"/>
    <mergeCell ref="AA227:AA227"/>
    <mergeCell ref="AB227:AB227"/>
    <mergeCell ref="AC227:AC227"/>
    <mergeCell ref="AD227:AD227"/>
    <mergeCell ref="AE227:AE227"/>
    <mergeCell ref="AF227:AF227"/>
    <mergeCell ref="A228:A228"/>
    <mergeCell ref="B228:B228"/>
    <mergeCell ref="C228:C228"/>
    <mergeCell ref="F228:F228"/>
    <mergeCell ref="G228:G228"/>
    <mergeCell ref="H228:H228"/>
    <mergeCell ref="M228:M228"/>
    <mergeCell ref="N228:N228"/>
    <mergeCell ref="O228:O228"/>
    <mergeCell ref="P228:P228"/>
    <mergeCell ref="Q228:Q228"/>
    <mergeCell ref="R228:R228"/>
    <mergeCell ref="S228:S228"/>
    <mergeCell ref="X228:X228"/>
    <mergeCell ref="Y228:Y228"/>
    <mergeCell ref="Z228:Z228"/>
    <mergeCell ref="AA228:AA228"/>
    <mergeCell ref="AB228:AB228"/>
    <mergeCell ref="AC228:AC228"/>
    <mergeCell ref="AD228:AD228"/>
    <mergeCell ref="AE228:AE228"/>
    <mergeCell ref="AF228:AF228"/>
    <mergeCell ref="A229:A229"/>
    <mergeCell ref="B229:B229"/>
    <mergeCell ref="C229:C229"/>
    <mergeCell ref="F229:F229"/>
    <mergeCell ref="G229:G229"/>
    <mergeCell ref="H229:H229"/>
    <mergeCell ref="M229:M229"/>
    <mergeCell ref="N229:N229"/>
    <mergeCell ref="O229:O229"/>
    <mergeCell ref="P229:P229"/>
    <mergeCell ref="Q229:Q229"/>
    <mergeCell ref="R229:R229"/>
    <mergeCell ref="S229:S229"/>
    <mergeCell ref="X229:X229"/>
    <mergeCell ref="Y229:Y229"/>
    <mergeCell ref="Z229:Z229"/>
    <mergeCell ref="AA229:AA229"/>
    <mergeCell ref="AB229:AB229"/>
    <mergeCell ref="AC229:AC229"/>
    <mergeCell ref="AD229:AD229"/>
    <mergeCell ref="AE229:AE229"/>
    <mergeCell ref="AF229:AF229"/>
    <mergeCell ref="A230:A230"/>
    <mergeCell ref="B230:B230"/>
    <mergeCell ref="C230:C230"/>
    <mergeCell ref="F230:F230"/>
    <mergeCell ref="G230:G230"/>
    <mergeCell ref="H230:H230"/>
    <mergeCell ref="M230:M230"/>
    <mergeCell ref="N230:N230"/>
    <mergeCell ref="O230:O230"/>
    <mergeCell ref="P230:P230"/>
    <mergeCell ref="Q230:Q230"/>
    <mergeCell ref="R230:R230"/>
    <mergeCell ref="S230:S230"/>
    <mergeCell ref="X230:X230"/>
    <mergeCell ref="Y230:Y230"/>
    <mergeCell ref="Z230:Z230"/>
    <mergeCell ref="AA230:AA230"/>
    <mergeCell ref="AB230:AB230"/>
    <mergeCell ref="AC230:AC230"/>
    <mergeCell ref="AD230:AD230"/>
    <mergeCell ref="AE230:AE230"/>
    <mergeCell ref="AF230:AF230"/>
    <mergeCell ref="A231:A231"/>
    <mergeCell ref="B231:B231"/>
    <mergeCell ref="C231:C231"/>
    <mergeCell ref="F231:F231"/>
    <mergeCell ref="G231:G231"/>
    <mergeCell ref="H231:H231"/>
    <mergeCell ref="M231:M231"/>
    <mergeCell ref="N231:N231"/>
    <mergeCell ref="O231:O231"/>
    <mergeCell ref="P231:P231"/>
    <mergeCell ref="Q231:Q231"/>
    <mergeCell ref="R231:R231"/>
    <mergeCell ref="S231:S231"/>
    <mergeCell ref="X231:X231"/>
    <mergeCell ref="Y231:Y231"/>
    <mergeCell ref="Z231:Z231"/>
    <mergeCell ref="AA231:AA231"/>
    <mergeCell ref="AB231:AB231"/>
    <mergeCell ref="AC231:AC231"/>
    <mergeCell ref="AD231:AD231"/>
    <mergeCell ref="AE231:AE231"/>
    <mergeCell ref="AF231:AF231"/>
    <mergeCell ref="A232:A232"/>
    <mergeCell ref="B232:B232"/>
    <mergeCell ref="C232:C232"/>
    <mergeCell ref="F232:F232"/>
    <mergeCell ref="G232:G232"/>
    <mergeCell ref="H232:H232"/>
    <mergeCell ref="M232:M232"/>
    <mergeCell ref="N232:N232"/>
    <mergeCell ref="O232:O232"/>
    <mergeCell ref="P232:P232"/>
    <mergeCell ref="Q232:Q232"/>
    <mergeCell ref="R232:R232"/>
    <mergeCell ref="S232:S232"/>
    <mergeCell ref="X232:X232"/>
    <mergeCell ref="Y232:Y232"/>
    <mergeCell ref="Z232:Z232"/>
    <mergeCell ref="AA232:AA232"/>
    <mergeCell ref="AB232:AB232"/>
    <mergeCell ref="AC232:AC232"/>
    <mergeCell ref="AD232:AD232"/>
    <mergeCell ref="AE232:AE232"/>
    <mergeCell ref="AF232:AF232"/>
    <mergeCell ref="A233:A233"/>
    <mergeCell ref="B233:B233"/>
    <mergeCell ref="C233:C233"/>
    <mergeCell ref="F233:F233"/>
    <mergeCell ref="G233:G233"/>
    <mergeCell ref="H233:H233"/>
    <mergeCell ref="M233:M233"/>
    <mergeCell ref="N233:N233"/>
    <mergeCell ref="O233:O233"/>
    <mergeCell ref="P233:P233"/>
    <mergeCell ref="Q233:Q233"/>
    <mergeCell ref="R233:R233"/>
    <mergeCell ref="S233:S233"/>
    <mergeCell ref="X233:X233"/>
    <mergeCell ref="Y233:Y233"/>
    <mergeCell ref="Z233:Z233"/>
    <mergeCell ref="AA233:AA233"/>
    <mergeCell ref="AB233:AB233"/>
    <mergeCell ref="AC233:AC233"/>
    <mergeCell ref="AD233:AD233"/>
    <mergeCell ref="AE233:AE233"/>
    <mergeCell ref="AF233:AF233"/>
    <mergeCell ref="A234:A234"/>
    <mergeCell ref="B234:B234"/>
    <mergeCell ref="C234:C234"/>
    <mergeCell ref="F234:F234"/>
    <mergeCell ref="G234:G234"/>
    <mergeCell ref="H234:H234"/>
    <mergeCell ref="M234:M234"/>
    <mergeCell ref="N234:N234"/>
    <mergeCell ref="O234:O234"/>
    <mergeCell ref="P234:P234"/>
    <mergeCell ref="Q234:Q234"/>
    <mergeCell ref="R234:R234"/>
    <mergeCell ref="S234:S234"/>
    <mergeCell ref="X234:X234"/>
    <mergeCell ref="Y234:Y234"/>
    <mergeCell ref="Z234:Z234"/>
    <mergeCell ref="AA234:AA234"/>
    <mergeCell ref="AB234:AB234"/>
    <mergeCell ref="AC234:AC234"/>
    <mergeCell ref="AD234:AD234"/>
    <mergeCell ref="AE234:AE234"/>
    <mergeCell ref="AF234:AF234"/>
    <mergeCell ref="A235:A235"/>
    <mergeCell ref="B235:B235"/>
    <mergeCell ref="C235:C235"/>
    <mergeCell ref="F235:F235"/>
    <mergeCell ref="G235:G235"/>
    <mergeCell ref="H235:H235"/>
    <mergeCell ref="M235:M235"/>
    <mergeCell ref="N235:N235"/>
    <mergeCell ref="O235:O235"/>
    <mergeCell ref="P235:P235"/>
    <mergeCell ref="Q235:Q235"/>
    <mergeCell ref="R235:R235"/>
    <mergeCell ref="S235:S235"/>
    <mergeCell ref="X235:X235"/>
    <mergeCell ref="Y235:Y235"/>
    <mergeCell ref="Z235:Z235"/>
    <mergeCell ref="AA235:AA235"/>
    <mergeCell ref="AB235:AB235"/>
    <mergeCell ref="AC235:AC235"/>
    <mergeCell ref="AD235:AD235"/>
    <mergeCell ref="AE235:AE235"/>
    <mergeCell ref="AF235:AF235"/>
    <mergeCell ref="A236:A236"/>
    <mergeCell ref="B236:B236"/>
    <mergeCell ref="C236:C236"/>
    <mergeCell ref="F236:F236"/>
    <mergeCell ref="G236:G236"/>
    <mergeCell ref="H236:H236"/>
    <mergeCell ref="M236:M236"/>
    <mergeCell ref="N236:N236"/>
    <mergeCell ref="O236:O236"/>
    <mergeCell ref="P236:P236"/>
    <mergeCell ref="Q236:Q236"/>
    <mergeCell ref="R236:R236"/>
    <mergeCell ref="S236:S236"/>
    <mergeCell ref="X236:X236"/>
    <mergeCell ref="Y236:Y236"/>
    <mergeCell ref="Z236:Z236"/>
    <mergeCell ref="AA236:AA236"/>
    <mergeCell ref="AB236:AB236"/>
    <mergeCell ref="AC236:AC236"/>
    <mergeCell ref="AD236:AD236"/>
    <mergeCell ref="AE236:AE236"/>
    <mergeCell ref="AF236:AF236"/>
    <mergeCell ref="A237:A237"/>
    <mergeCell ref="B237:B237"/>
    <mergeCell ref="C237:C237"/>
    <mergeCell ref="F237:F237"/>
    <mergeCell ref="G237:G237"/>
    <mergeCell ref="H237:H237"/>
    <mergeCell ref="M237:M237"/>
    <mergeCell ref="N237:N237"/>
    <mergeCell ref="O237:O237"/>
    <mergeCell ref="P237:P237"/>
    <mergeCell ref="Q237:Q237"/>
    <mergeCell ref="R237:R237"/>
    <mergeCell ref="S237:S237"/>
    <mergeCell ref="X237:X237"/>
    <mergeCell ref="Y237:Y237"/>
    <mergeCell ref="Z237:Z237"/>
    <mergeCell ref="AA237:AA237"/>
    <mergeCell ref="AB237:AB237"/>
    <mergeCell ref="AC237:AC237"/>
    <mergeCell ref="AD237:AD237"/>
    <mergeCell ref="AE237:AE237"/>
    <mergeCell ref="AF237:AF237"/>
    <mergeCell ref="A238:A238"/>
    <mergeCell ref="B238:B238"/>
    <mergeCell ref="C238:C238"/>
    <mergeCell ref="F238:F238"/>
    <mergeCell ref="G238:G238"/>
    <mergeCell ref="H238:H238"/>
    <mergeCell ref="M238:M238"/>
    <mergeCell ref="N238:N238"/>
    <mergeCell ref="O238:O238"/>
    <mergeCell ref="P238:P238"/>
    <mergeCell ref="Q238:Q238"/>
    <mergeCell ref="R238:R238"/>
    <mergeCell ref="S238:S238"/>
    <mergeCell ref="X238:X238"/>
    <mergeCell ref="Y238:Y238"/>
    <mergeCell ref="Z238:Z238"/>
    <mergeCell ref="AA238:AA238"/>
    <mergeCell ref="AB238:AB238"/>
    <mergeCell ref="AC238:AC238"/>
    <mergeCell ref="AD238:AD238"/>
    <mergeCell ref="AE238:AE238"/>
    <mergeCell ref="AF238:AF238"/>
    <mergeCell ref="A239:A239"/>
    <mergeCell ref="B239:B239"/>
    <mergeCell ref="C239:C239"/>
    <mergeCell ref="F239:F239"/>
    <mergeCell ref="G239:G239"/>
    <mergeCell ref="H239:H239"/>
    <mergeCell ref="M239:M239"/>
    <mergeCell ref="N239:N239"/>
    <mergeCell ref="O239:O239"/>
    <mergeCell ref="P239:P239"/>
    <mergeCell ref="Q239:Q239"/>
    <mergeCell ref="R239:R239"/>
    <mergeCell ref="S239:S239"/>
    <mergeCell ref="X239:X239"/>
    <mergeCell ref="Y239:Y239"/>
    <mergeCell ref="Z239:Z239"/>
    <mergeCell ref="AA239:AA239"/>
    <mergeCell ref="AB239:AB239"/>
    <mergeCell ref="AC239:AC239"/>
    <mergeCell ref="AD239:AD239"/>
    <mergeCell ref="AE239:AE239"/>
    <mergeCell ref="AF239:AF239"/>
    <mergeCell ref="A240:A240"/>
    <mergeCell ref="B240:B240"/>
    <mergeCell ref="C240:C240"/>
    <mergeCell ref="F240:F240"/>
    <mergeCell ref="G240:G240"/>
    <mergeCell ref="H240:H240"/>
    <mergeCell ref="M240:M240"/>
    <mergeCell ref="N240:N240"/>
    <mergeCell ref="O240:O240"/>
    <mergeCell ref="P240:P240"/>
    <mergeCell ref="Q240:Q240"/>
    <mergeCell ref="R240:R240"/>
    <mergeCell ref="S240:S240"/>
    <mergeCell ref="X240:X240"/>
    <mergeCell ref="Y240:Y240"/>
    <mergeCell ref="Z240:Z240"/>
    <mergeCell ref="AA240:AA240"/>
    <mergeCell ref="AB240:AB240"/>
    <mergeCell ref="AC240:AC240"/>
    <mergeCell ref="AD240:AD240"/>
    <mergeCell ref="AE240:AE240"/>
    <mergeCell ref="AF240:AF240"/>
    <mergeCell ref="A241:A241"/>
    <mergeCell ref="B241:B241"/>
    <mergeCell ref="C241:C241"/>
    <mergeCell ref="F241:F241"/>
    <mergeCell ref="G241:G241"/>
    <mergeCell ref="H241:H241"/>
    <mergeCell ref="M241:M241"/>
    <mergeCell ref="N241:N241"/>
    <mergeCell ref="O241:O241"/>
    <mergeCell ref="P241:P241"/>
    <mergeCell ref="Q241:Q241"/>
    <mergeCell ref="R241:R241"/>
    <mergeCell ref="S241:S241"/>
    <mergeCell ref="X241:X241"/>
    <mergeCell ref="Y241:Y241"/>
    <mergeCell ref="Z241:Z241"/>
    <mergeCell ref="AA241:AA241"/>
    <mergeCell ref="AB241:AB241"/>
    <mergeCell ref="AC241:AC241"/>
    <mergeCell ref="AD241:AD241"/>
    <mergeCell ref="AE241:AE241"/>
    <mergeCell ref="AF241:AF241"/>
    <mergeCell ref="A242:A242"/>
    <mergeCell ref="B242:B242"/>
    <mergeCell ref="C242:C242"/>
    <mergeCell ref="F242:F242"/>
    <mergeCell ref="G242:G242"/>
    <mergeCell ref="H242:H242"/>
    <mergeCell ref="M242:M242"/>
    <mergeCell ref="N242:N242"/>
    <mergeCell ref="O242:O242"/>
    <mergeCell ref="P242:P242"/>
    <mergeCell ref="Q242:Q242"/>
    <mergeCell ref="R242:R242"/>
    <mergeCell ref="S242:S242"/>
    <mergeCell ref="X242:X242"/>
    <mergeCell ref="Y242:Y242"/>
    <mergeCell ref="Z242:Z242"/>
    <mergeCell ref="AA242:AA242"/>
    <mergeCell ref="AB242:AB242"/>
    <mergeCell ref="AC242:AC242"/>
    <mergeCell ref="AD242:AD242"/>
    <mergeCell ref="AE242:AE242"/>
    <mergeCell ref="AF242:AF242"/>
    <mergeCell ref="A243:A243"/>
    <mergeCell ref="B243:B243"/>
    <mergeCell ref="C243:C243"/>
    <mergeCell ref="F243:F243"/>
    <mergeCell ref="G243:G243"/>
    <mergeCell ref="H243:H243"/>
    <mergeCell ref="M243:M243"/>
    <mergeCell ref="N243:N243"/>
    <mergeCell ref="O243:O243"/>
    <mergeCell ref="P243:P243"/>
    <mergeCell ref="Q243:Q243"/>
    <mergeCell ref="R243:R243"/>
    <mergeCell ref="S243:S243"/>
    <mergeCell ref="X243:X243"/>
    <mergeCell ref="Y243:Y243"/>
    <mergeCell ref="Z243:Z243"/>
    <mergeCell ref="AA243:AA243"/>
    <mergeCell ref="AB243:AB243"/>
    <mergeCell ref="AC243:AC243"/>
    <mergeCell ref="AD243:AD243"/>
    <mergeCell ref="AE243:AE243"/>
    <mergeCell ref="AF243:AF243"/>
    <mergeCell ref="A244:A244"/>
    <mergeCell ref="B244:B244"/>
    <mergeCell ref="C244:C244"/>
    <mergeCell ref="F244:F244"/>
    <mergeCell ref="G244:G244"/>
    <mergeCell ref="H244:H244"/>
    <mergeCell ref="M244:M244"/>
    <mergeCell ref="N244:N244"/>
    <mergeCell ref="O244:O244"/>
    <mergeCell ref="P244:P244"/>
    <mergeCell ref="Q244:Q244"/>
    <mergeCell ref="R244:R244"/>
    <mergeCell ref="S244:S244"/>
    <mergeCell ref="X244:X244"/>
    <mergeCell ref="Y244:Y244"/>
    <mergeCell ref="Z244:Z244"/>
    <mergeCell ref="AA244:AA244"/>
    <mergeCell ref="AB244:AB244"/>
    <mergeCell ref="AC244:AC244"/>
    <mergeCell ref="AD244:AD244"/>
    <mergeCell ref="AE244:AE244"/>
    <mergeCell ref="AF244:AF244"/>
    <mergeCell ref="A245:A245"/>
    <mergeCell ref="B245:B245"/>
    <mergeCell ref="C245:C245"/>
    <mergeCell ref="F245:F245"/>
    <mergeCell ref="G245:G245"/>
    <mergeCell ref="H245:H245"/>
    <mergeCell ref="M245:M245"/>
    <mergeCell ref="N245:N245"/>
    <mergeCell ref="O245:O245"/>
    <mergeCell ref="P245:P245"/>
    <mergeCell ref="Q245:Q245"/>
    <mergeCell ref="R245:R245"/>
    <mergeCell ref="S245:S245"/>
    <mergeCell ref="X245:X245"/>
    <mergeCell ref="Y245:Y245"/>
    <mergeCell ref="Z245:Z245"/>
    <mergeCell ref="AA245:AA245"/>
    <mergeCell ref="AB245:AB245"/>
    <mergeCell ref="AC245:AC245"/>
    <mergeCell ref="AD245:AD245"/>
    <mergeCell ref="AE245:AE245"/>
    <mergeCell ref="AF245:AF245"/>
    <mergeCell ref="A246:A246"/>
    <mergeCell ref="B246:B246"/>
    <mergeCell ref="C246:C246"/>
    <mergeCell ref="F246:F246"/>
    <mergeCell ref="G246:G246"/>
    <mergeCell ref="H246:H246"/>
    <mergeCell ref="M246:M246"/>
    <mergeCell ref="N246:N246"/>
    <mergeCell ref="O246:O246"/>
    <mergeCell ref="P246:P246"/>
    <mergeCell ref="Q246:Q246"/>
    <mergeCell ref="R246:R246"/>
    <mergeCell ref="S246:S246"/>
    <mergeCell ref="X246:X246"/>
    <mergeCell ref="Y246:Y246"/>
    <mergeCell ref="Z246:Z246"/>
    <mergeCell ref="AA246:AA246"/>
    <mergeCell ref="AB246:AB246"/>
    <mergeCell ref="AC246:AC246"/>
    <mergeCell ref="AD246:AD246"/>
    <mergeCell ref="AE246:AE246"/>
    <mergeCell ref="AF246:AF246"/>
    <mergeCell ref="A247:A247"/>
    <mergeCell ref="B247:B247"/>
    <mergeCell ref="C247:C247"/>
    <mergeCell ref="F247:F247"/>
    <mergeCell ref="G247:G247"/>
    <mergeCell ref="H247:H247"/>
    <mergeCell ref="M247:M247"/>
    <mergeCell ref="N247:N247"/>
    <mergeCell ref="O247:O247"/>
    <mergeCell ref="P247:P247"/>
    <mergeCell ref="Q247:Q247"/>
    <mergeCell ref="R247:R247"/>
    <mergeCell ref="S247:S247"/>
    <mergeCell ref="X247:X247"/>
    <mergeCell ref="Y247:Y247"/>
    <mergeCell ref="Z247:Z247"/>
    <mergeCell ref="AA247:AA247"/>
    <mergeCell ref="AB247:AB247"/>
    <mergeCell ref="AC247:AC247"/>
    <mergeCell ref="AD247:AD247"/>
    <mergeCell ref="AE247:AE247"/>
    <mergeCell ref="AF247:AF247"/>
    <mergeCell ref="A248:A248"/>
    <mergeCell ref="B248:B248"/>
    <mergeCell ref="C248:C248"/>
    <mergeCell ref="F248:F248"/>
    <mergeCell ref="G248:G248"/>
    <mergeCell ref="H248:H248"/>
    <mergeCell ref="M248:M248"/>
    <mergeCell ref="N248:N248"/>
    <mergeCell ref="O248:O248"/>
    <mergeCell ref="P248:P248"/>
    <mergeCell ref="Q248:Q248"/>
    <mergeCell ref="R248:R248"/>
    <mergeCell ref="S248:S248"/>
    <mergeCell ref="X248:X248"/>
    <mergeCell ref="Y248:Y248"/>
    <mergeCell ref="Z248:Z248"/>
    <mergeCell ref="AA248:AA248"/>
    <mergeCell ref="AB248:AB248"/>
    <mergeCell ref="AC248:AC248"/>
    <mergeCell ref="AD248:AD248"/>
    <mergeCell ref="AE248:AE248"/>
    <mergeCell ref="AF248:AF248"/>
    <mergeCell ref="A249:A249"/>
    <mergeCell ref="B249:B249"/>
    <mergeCell ref="C249:C249"/>
    <mergeCell ref="F249:F249"/>
    <mergeCell ref="G249:G249"/>
    <mergeCell ref="H249:H249"/>
    <mergeCell ref="M249:M249"/>
    <mergeCell ref="N249:N249"/>
    <mergeCell ref="O249:O249"/>
    <mergeCell ref="P249:P249"/>
    <mergeCell ref="Q249:Q249"/>
    <mergeCell ref="R249:R249"/>
    <mergeCell ref="S249:S249"/>
    <mergeCell ref="X249:X249"/>
    <mergeCell ref="Y249:Y249"/>
    <mergeCell ref="Z249:Z249"/>
    <mergeCell ref="AA249:AA249"/>
    <mergeCell ref="AB249:AB249"/>
    <mergeCell ref="AC249:AC249"/>
    <mergeCell ref="AD249:AD249"/>
    <mergeCell ref="AE249:AE249"/>
    <mergeCell ref="AF249:AF249"/>
    <mergeCell ref="A250:A250"/>
    <mergeCell ref="B250:B250"/>
    <mergeCell ref="C250:C250"/>
    <mergeCell ref="F250:F250"/>
    <mergeCell ref="G250:G250"/>
    <mergeCell ref="H250:H250"/>
    <mergeCell ref="M250:M250"/>
    <mergeCell ref="N250:N250"/>
    <mergeCell ref="O250:O250"/>
    <mergeCell ref="P250:P250"/>
    <mergeCell ref="Q250:Q250"/>
    <mergeCell ref="R250:R250"/>
    <mergeCell ref="S250:S250"/>
    <mergeCell ref="X250:X250"/>
    <mergeCell ref="Y250:Y250"/>
    <mergeCell ref="Z250:Z250"/>
    <mergeCell ref="AA250:AA250"/>
    <mergeCell ref="AB250:AB250"/>
    <mergeCell ref="AC250:AC250"/>
    <mergeCell ref="AD250:AD250"/>
    <mergeCell ref="AE250:AE250"/>
    <mergeCell ref="AF250:AF250"/>
    <mergeCell ref="A251:A251"/>
    <mergeCell ref="B251:B251"/>
    <mergeCell ref="C251:C251"/>
    <mergeCell ref="F251:F251"/>
    <mergeCell ref="G251:G251"/>
    <mergeCell ref="H251:H251"/>
    <mergeCell ref="M251:M251"/>
    <mergeCell ref="N251:N251"/>
    <mergeCell ref="O251:O251"/>
    <mergeCell ref="P251:P251"/>
    <mergeCell ref="Q251:Q251"/>
    <mergeCell ref="R251:R251"/>
    <mergeCell ref="S251:S251"/>
    <mergeCell ref="X251:X251"/>
    <mergeCell ref="Y251:Y251"/>
    <mergeCell ref="Z251:Z251"/>
    <mergeCell ref="AA251:AA251"/>
    <mergeCell ref="AB251:AB251"/>
    <mergeCell ref="AC251:AC251"/>
    <mergeCell ref="AD251:AD251"/>
    <mergeCell ref="AE251:AE251"/>
    <mergeCell ref="AF251:AF251"/>
    <mergeCell ref="A252:A252"/>
    <mergeCell ref="B252:B252"/>
    <mergeCell ref="C252:C252"/>
    <mergeCell ref="F252:F252"/>
    <mergeCell ref="G252:G252"/>
    <mergeCell ref="H252:H252"/>
    <mergeCell ref="M252:M252"/>
    <mergeCell ref="N252:N252"/>
    <mergeCell ref="O252:O252"/>
    <mergeCell ref="P252:P252"/>
    <mergeCell ref="Q252:Q252"/>
    <mergeCell ref="R252:R252"/>
    <mergeCell ref="S252:S252"/>
    <mergeCell ref="X252:X252"/>
    <mergeCell ref="Y252:Y252"/>
    <mergeCell ref="Z252:Z252"/>
    <mergeCell ref="AA252:AA252"/>
    <mergeCell ref="AB252:AB252"/>
    <mergeCell ref="AC252:AC252"/>
    <mergeCell ref="AD252:AD252"/>
    <mergeCell ref="AE252:AE252"/>
    <mergeCell ref="AF252:AF252"/>
    <mergeCell ref="A253:A253"/>
    <mergeCell ref="B253:B253"/>
    <mergeCell ref="C253:C253"/>
    <mergeCell ref="F253:F253"/>
    <mergeCell ref="G253:G253"/>
    <mergeCell ref="H253:H253"/>
    <mergeCell ref="M253:M253"/>
    <mergeCell ref="N253:N253"/>
    <mergeCell ref="O253:O253"/>
    <mergeCell ref="P253:P253"/>
    <mergeCell ref="Q253:Q253"/>
    <mergeCell ref="R253:R253"/>
    <mergeCell ref="S253:S253"/>
    <mergeCell ref="X253:X253"/>
    <mergeCell ref="Y253:Y253"/>
    <mergeCell ref="Z253:Z253"/>
    <mergeCell ref="AA253:AA253"/>
    <mergeCell ref="AB253:AB253"/>
    <mergeCell ref="AC253:AC253"/>
    <mergeCell ref="AD253:AD253"/>
    <mergeCell ref="AE253:AE253"/>
    <mergeCell ref="AF253:AF253"/>
    <mergeCell ref="A254:A254"/>
    <mergeCell ref="B254:B254"/>
    <mergeCell ref="C254:C254"/>
    <mergeCell ref="F254:F254"/>
    <mergeCell ref="G254:G254"/>
    <mergeCell ref="H254:H254"/>
    <mergeCell ref="M254:M254"/>
    <mergeCell ref="N254:N254"/>
    <mergeCell ref="O254:O254"/>
    <mergeCell ref="P254:P254"/>
    <mergeCell ref="Q254:Q254"/>
    <mergeCell ref="R254:R254"/>
    <mergeCell ref="S254:S254"/>
    <mergeCell ref="X254:X254"/>
    <mergeCell ref="Y254:Y254"/>
    <mergeCell ref="Z254:Z254"/>
    <mergeCell ref="AA254:AA254"/>
    <mergeCell ref="AB254:AB254"/>
    <mergeCell ref="AC254:AC254"/>
    <mergeCell ref="AD254:AD254"/>
    <mergeCell ref="AE254:AE254"/>
    <mergeCell ref="AF254:AF254"/>
    <mergeCell ref="A255:A255"/>
    <mergeCell ref="B255:B255"/>
    <mergeCell ref="C255:C255"/>
    <mergeCell ref="F255:F255"/>
    <mergeCell ref="G255:G255"/>
    <mergeCell ref="H255:H255"/>
    <mergeCell ref="M255:M255"/>
    <mergeCell ref="N255:N255"/>
    <mergeCell ref="O255:O255"/>
    <mergeCell ref="P255:P255"/>
    <mergeCell ref="Q255:Q255"/>
    <mergeCell ref="R255:R255"/>
    <mergeCell ref="S255:S255"/>
    <mergeCell ref="X255:X255"/>
    <mergeCell ref="Y255:Y255"/>
    <mergeCell ref="Z255:Z255"/>
    <mergeCell ref="AA255:AA255"/>
    <mergeCell ref="AB255:AB255"/>
    <mergeCell ref="AC255:AC255"/>
    <mergeCell ref="AD255:AD255"/>
    <mergeCell ref="AE255:AE255"/>
    <mergeCell ref="AF255:AF255"/>
    <mergeCell ref="A256:A256"/>
    <mergeCell ref="B256:B256"/>
    <mergeCell ref="C256:C256"/>
    <mergeCell ref="F256:F256"/>
    <mergeCell ref="G256:G256"/>
    <mergeCell ref="H256:H256"/>
    <mergeCell ref="M256:M256"/>
    <mergeCell ref="N256:N256"/>
    <mergeCell ref="O256:O256"/>
    <mergeCell ref="P256:P256"/>
    <mergeCell ref="Q256:Q256"/>
    <mergeCell ref="R256:R256"/>
    <mergeCell ref="S256:S256"/>
    <mergeCell ref="X256:X256"/>
    <mergeCell ref="Y256:Y256"/>
    <mergeCell ref="Z256:Z256"/>
    <mergeCell ref="AA256:AA256"/>
    <mergeCell ref="AB256:AB256"/>
    <mergeCell ref="AC256:AC256"/>
    <mergeCell ref="AD256:AD256"/>
    <mergeCell ref="AE256:AE256"/>
    <mergeCell ref="AF256:AF256"/>
    <mergeCell ref="A257:A257"/>
    <mergeCell ref="B257:B257"/>
    <mergeCell ref="C257:C257"/>
    <mergeCell ref="F257:F257"/>
    <mergeCell ref="G257:G257"/>
    <mergeCell ref="H257:H257"/>
    <mergeCell ref="M257:M257"/>
    <mergeCell ref="N257:N257"/>
    <mergeCell ref="O257:O257"/>
    <mergeCell ref="P257:P257"/>
    <mergeCell ref="Q257:Q257"/>
    <mergeCell ref="R257:R257"/>
    <mergeCell ref="S257:S257"/>
    <mergeCell ref="X257:X257"/>
    <mergeCell ref="Y257:Y257"/>
    <mergeCell ref="Z257:Z257"/>
    <mergeCell ref="AA257:AA257"/>
    <mergeCell ref="AB257:AB257"/>
    <mergeCell ref="AC257:AC257"/>
    <mergeCell ref="AD257:AD257"/>
    <mergeCell ref="AE257:AE257"/>
    <mergeCell ref="AF257:AF257"/>
    <mergeCell ref="A258:A258"/>
    <mergeCell ref="B258:B258"/>
    <mergeCell ref="C258:C258"/>
    <mergeCell ref="F258:F258"/>
    <mergeCell ref="G258:G258"/>
    <mergeCell ref="H258:H258"/>
    <mergeCell ref="M258:M258"/>
    <mergeCell ref="N258:N258"/>
    <mergeCell ref="O258:O258"/>
    <mergeCell ref="P258:P258"/>
    <mergeCell ref="Q258:Q258"/>
    <mergeCell ref="R258:R258"/>
    <mergeCell ref="S258:S258"/>
    <mergeCell ref="X258:X258"/>
    <mergeCell ref="Y258:Y258"/>
    <mergeCell ref="Z258:Z258"/>
    <mergeCell ref="AA258:AA258"/>
    <mergeCell ref="AB258:AB258"/>
    <mergeCell ref="AC258:AC258"/>
    <mergeCell ref="AD258:AD258"/>
    <mergeCell ref="AE258:AE258"/>
    <mergeCell ref="AF258:AF258"/>
    <mergeCell ref="A259:A259"/>
    <mergeCell ref="B259:B259"/>
    <mergeCell ref="C259:C259"/>
    <mergeCell ref="F259:F259"/>
    <mergeCell ref="G259:G259"/>
    <mergeCell ref="H259:H259"/>
    <mergeCell ref="M259:M259"/>
    <mergeCell ref="N259:N259"/>
    <mergeCell ref="O259:O259"/>
    <mergeCell ref="P259:P259"/>
    <mergeCell ref="Q259:Q259"/>
    <mergeCell ref="R259:R259"/>
    <mergeCell ref="S259:S259"/>
    <mergeCell ref="X259:X259"/>
    <mergeCell ref="Y259:Y259"/>
    <mergeCell ref="Z259:Z259"/>
    <mergeCell ref="AA259:AA259"/>
    <mergeCell ref="AB259:AB259"/>
    <mergeCell ref="AC259:AC259"/>
    <mergeCell ref="AD259:AD259"/>
    <mergeCell ref="AE259:AE259"/>
    <mergeCell ref="AF259:AF259"/>
    <mergeCell ref="A260:A260"/>
    <mergeCell ref="B260:B260"/>
    <mergeCell ref="C260:C260"/>
    <mergeCell ref="F260:F260"/>
    <mergeCell ref="G260:G260"/>
    <mergeCell ref="H260:H260"/>
    <mergeCell ref="M260:M260"/>
    <mergeCell ref="N260:N260"/>
    <mergeCell ref="O260:O260"/>
    <mergeCell ref="P260:P260"/>
    <mergeCell ref="Q260:Q260"/>
    <mergeCell ref="R260:R260"/>
    <mergeCell ref="S260:S260"/>
    <mergeCell ref="X260:X260"/>
    <mergeCell ref="Y260:Y260"/>
    <mergeCell ref="Z260:Z260"/>
    <mergeCell ref="AA260:AA260"/>
    <mergeCell ref="AB260:AB260"/>
    <mergeCell ref="AC260:AC260"/>
    <mergeCell ref="AD260:AD260"/>
    <mergeCell ref="AE260:AE260"/>
    <mergeCell ref="AF260:AF260"/>
    <mergeCell ref="A261:A261"/>
    <mergeCell ref="B261:B261"/>
    <mergeCell ref="C261:C261"/>
    <mergeCell ref="F261:F261"/>
    <mergeCell ref="G261:G261"/>
    <mergeCell ref="H261:H261"/>
    <mergeCell ref="M261:M261"/>
    <mergeCell ref="N261:N261"/>
    <mergeCell ref="O261:O261"/>
    <mergeCell ref="P261:P261"/>
    <mergeCell ref="Q261:Q261"/>
    <mergeCell ref="R261:R261"/>
    <mergeCell ref="S261:S261"/>
    <mergeCell ref="X261:X261"/>
    <mergeCell ref="Y261:Y261"/>
    <mergeCell ref="Z261:Z261"/>
    <mergeCell ref="AA261:AA261"/>
    <mergeCell ref="AB261:AB261"/>
    <mergeCell ref="AC261:AC261"/>
    <mergeCell ref="AD261:AD261"/>
    <mergeCell ref="AE261:AE261"/>
    <mergeCell ref="AF261:AF261"/>
    <mergeCell ref="A262:A262"/>
    <mergeCell ref="B262:B262"/>
    <mergeCell ref="C262:C262"/>
    <mergeCell ref="F262:F262"/>
    <mergeCell ref="G262:G262"/>
    <mergeCell ref="H262:H262"/>
    <mergeCell ref="M262:M262"/>
    <mergeCell ref="N262:N262"/>
    <mergeCell ref="O262:O262"/>
    <mergeCell ref="P262:P262"/>
    <mergeCell ref="Q262:Q262"/>
    <mergeCell ref="R262:R262"/>
    <mergeCell ref="S262:S262"/>
    <mergeCell ref="X262:X262"/>
    <mergeCell ref="Y262:Y262"/>
    <mergeCell ref="Z262:Z262"/>
    <mergeCell ref="AA262:AA262"/>
    <mergeCell ref="AB262:AB262"/>
    <mergeCell ref="AC262:AC262"/>
    <mergeCell ref="AD262:AD262"/>
    <mergeCell ref="AE262:AE262"/>
    <mergeCell ref="AF262:AF262"/>
    <mergeCell ref="A263:A263"/>
    <mergeCell ref="B263:B263"/>
    <mergeCell ref="C263:C263"/>
    <mergeCell ref="F263:F263"/>
    <mergeCell ref="G263:G263"/>
    <mergeCell ref="H263:H263"/>
    <mergeCell ref="M263:M263"/>
    <mergeCell ref="N263:N263"/>
    <mergeCell ref="O263:O263"/>
    <mergeCell ref="P263:P263"/>
    <mergeCell ref="Q263:Q263"/>
    <mergeCell ref="R263:R263"/>
    <mergeCell ref="S263:S263"/>
    <mergeCell ref="X263:X263"/>
    <mergeCell ref="Y263:Y263"/>
    <mergeCell ref="Z263:Z263"/>
    <mergeCell ref="AA263:AA263"/>
    <mergeCell ref="AB263:AB263"/>
    <mergeCell ref="AC263:AC263"/>
    <mergeCell ref="AD263:AD263"/>
    <mergeCell ref="AE263:AE263"/>
    <mergeCell ref="AF263:AF263"/>
    <mergeCell ref="A264:A264"/>
    <mergeCell ref="B264:B264"/>
    <mergeCell ref="C264:C264"/>
    <mergeCell ref="F264:F264"/>
    <mergeCell ref="G264:G264"/>
    <mergeCell ref="H264:H264"/>
    <mergeCell ref="M264:M264"/>
    <mergeCell ref="N264:N264"/>
    <mergeCell ref="O264:O264"/>
    <mergeCell ref="P264:P264"/>
    <mergeCell ref="Q264:Q264"/>
    <mergeCell ref="R264:R264"/>
    <mergeCell ref="S264:S264"/>
    <mergeCell ref="X264:X264"/>
    <mergeCell ref="Y264:Y264"/>
    <mergeCell ref="Z264:Z264"/>
    <mergeCell ref="AA264:AA264"/>
    <mergeCell ref="AB264:AB264"/>
    <mergeCell ref="AC264:AC264"/>
    <mergeCell ref="AD264:AD264"/>
    <mergeCell ref="AE264:AE264"/>
    <mergeCell ref="AF264:AF264"/>
    <mergeCell ref="A265:A265"/>
    <mergeCell ref="B265:B265"/>
    <mergeCell ref="C265:C265"/>
    <mergeCell ref="F265:F265"/>
    <mergeCell ref="G265:G265"/>
    <mergeCell ref="H265:H265"/>
    <mergeCell ref="M265:M265"/>
    <mergeCell ref="N265:N265"/>
    <mergeCell ref="O265:O265"/>
    <mergeCell ref="P265:P265"/>
    <mergeCell ref="Q265:Q265"/>
    <mergeCell ref="R265:R265"/>
    <mergeCell ref="S265:S265"/>
    <mergeCell ref="X265:X265"/>
    <mergeCell ref="Y265:Y265"/>
    <mergeCell ref="Z265:Z265"/>
    <mergeCell ref="AA265:AA265"/>
    <mergeCell ref="AB265:AB265"/>
    <mergeCell ref="AC265:AC265"/>
    <mergeCell ref="AD265:AD265"/>
    <mergeCell ref="AE265:AE265"/>
    <mergeCell ref="AF265:AF265"/>
    <mergeCell ref="A266:A266"/>
    <mergeCell ref="B266:B266"/>
    <mergeCell ref="C266:C266"/>
    <mergeCell ref="F266:F266"/>
    <mergeCell ref="G266:G266"/>
    <mergeCell ref="H266:H266"/>
    <mergeCell ref="M266:M266"/>
    <mergeCell ref="N266:N266"/>
    <mergeCell ref="O266:O266"/>
    <mergeCell ref="P266:P266"/>
    <mergeCell ref="Q266:Q266"/>
    <mergeCell ref="R266:R266"/>
    <mergeCell ref="S266:S266"/>
    <mergeCell ref="X266:X266"/>
    <mergeCell ref="Y266:Y266"/>
    <mergeCell ref="Z266:Z266"/>
    <mergeCell ref="AA266:AA266"/>
    <mergeCell ref="AB266:AB266"/>
    <mergeCell ref="AC266:AC266"/>
    <mergeCell ref="AD266:AD266"/>
    <mergeCell ref="AE266:AE266"/>
    <mergeCell ref="AF266:AF266"/>
    <mergeCell ref="A267:A267"/>
    <mergeCell ref="B267:B267"/>
    <mergeCell ref="C267:C267"/>
    <mergeCell ref="F267:F267"/>
    <mergeCell ref="G267:G267"/>
    <mergeCell ref="H267:H267"/>
    <mergeCell ref="M267:M267"/>
    <mergeCell ref="N267:N267"/>
    <mergeCell ref="O267:O267"/>
    <mergeCell ref="P267:P267"/>
    <mergeCell ref="Q267:Q267"/>
    <mergeCell ref="R267:R267"/>
    <mergeCell ref="S267:S267"/>
    <mergeCell ref="X267:X267"/>
    <mergeCell ref="Y267:Y267"/>
    <mergeCell ref="Z267:Z267"/>
    <mergeCell ref="AA267:AA267"/>
    <mergeCell ref="AB267:AB267"/>
    <mergeCell ref="AC267:AC267"/>
    <mergeCell ref="AD267:AD267"/>
    <mergeCell ref="AE267:AE267"/>
    <mergeCell ref="AF267:AF267"/>
    <mergeCell ref="A268:A268"/>
    <mergeCell ref="B268:B268"/>
    <mergeCell ref="C268:C268"/>
    <mergeCell ref="F268:F268"/>
    <mergeCell ref="G268:G268"/>
    <mergeCell ref="H268:H268"/>
    <mergeCell ref="M268:M268"/>
    <mergeCell ref="N268:N268"/>
    <mergeCell ref="O268:O268"/>
    <mergeCell ref="P268:P268"/>
    <mergeCell ref="Q268:Q268"/>
    <mergeCell ref="R268:R268"/>
    <mergeCell ref="S268:S268"/>
    <mergeCell ref="X268:X268"/>
    <mergeCell ref="Y268:Y268"/>
    <mergeCell ref="Z268:Z268"/>
    <mergeCell ref="AA268:AA268"/>
    <mergeCell ref="AB268:AB268"/>
    <mergeCell ref="AC268:AC268"/>
    <mergeCell ref="AD268:AD268"/>
    <mergeCell ref="AE268:AE268"/>
    <mergeCell ref="AF268:AF268"/>
    <mergeCell ref="A269:A269"/>
    <mergeCell ref="B269:B269"/>
    <mergeCell ref="C269:C269"/>
    <mergeCell ref="F269:F269"/>
    <mergeCell ref="G269:G269"/>
    <mergeCell ref="H269:H269"/>
    <mergeCell ref="M269:M269"/>
    <mergeCell ref="N269:N269"/>
    <mergeCell ref="O269:O269"/>
    <mergeCell ref="P269:P269"/>
    <mergeCell ref="Q269:Q269"/>
    <mergeCell ref="R269:R269"/>
    <mergeCell ref="S269:S269"/>
    <mergeCell ref="X269:X269"/>
    <mergeCell ref="Y269:Y269"/>
    <mergeCell ref="Z269:Z269"/>
    <mergeCell ref="AA269:AA269"/>
    <mergeCell ref="AB269:AB269"/>
    <mergeCell ref="AC269:AC269"/>
    <mergeCell ref="AD269:AD269"/>
    <mergeCell ref="AE269:AE269"/>
    <mergeCell ref="AF269:AF269"/>
    <mergeCell ref="A270:A270"/>
    <mergeCell ref="B270:B270"/>
    <mergeCell ref="C270:C270"/>
    <mergeCell ref="F270:F270"/>
    <mergeCell ref="G270:G270"/>
    <mergeCell ref="H270:H270"/>
    <mergeCell ref="M270:M270"/>
    <mergeCell ref="N270:N270"/>
    <mergeCell ref="O270:O270"/>
    <mergeCell ref="P270:P270"/>
    <mergeCell ref="Q270:Q270"/>
    <mergeCell ref="R270:R270"/>
    <mergeCell ref="S270:S270"/>
    <mergeCell ref="X270:X270"/>
    <mergeCell ref="Y270:Y270"/>
    <mergeCell ref="Z270:Z270"/>
    <mergeCell ref="AA270:AA270"/>
    <mergeCell ref="AB270:AB270"/>
    <mergeCell ref="AC270:AC270"/>
    <mergeCell ref="AD270:AD270"/>
    <mergeCell ref="AE270:AE270"/>
    <mergeCell ref="AF270:AF270"/>
    <mergeCell ref="A271:A271"/>
    <mergeCell ref="B271:B271"/>
    <mergeCell ref="C271:C271"/>
    <mergeCell ref="F271:F271"/>
    <mergeCell ref="G271:G271"/>
    <mergeCell ref="H271:H271"/>
    <mergeCell ref="M271:M271"/>
    <mergeCell ref="N271:N271"/>
    <mergeCell ref="O271:O271"/>
    <mergeCell ref="P271:P271"/>
    <mergeCell ref="Q271:Q271"/>
    <mergeCell ref="R271:R271"/>
    <mergeCell ref="S271:S271"/>
    <mergeCell ref="X271:X271"/>
    <mergeCell ref="Y271:Y271"/>
    <mergeCell ref="Z271:Z271"/>
    <mergeCell ref="AA271:AA271"/>
    <mergeCell ref="AB271:AB271"/>
    <mergeCell ref="AC271:AC271"/>
    <mergeCell ref="AD271:AD271"/>
    <mergeCell ref="AE271:AE271"/>
    <mergeCell ref="AF271:AF271"/>
    <mergeCell ref="A272:A272"/>
    <mergeCell ref="B272:B272"/>
    <mergeCell ref="C272:C272"/>
    <mergeCell ref="F272:F272"/>
    <mergeCell ref="G272:G272"/>
    <mergeCell ref="H272:H272"/>
    <mergeCell ref="M272:M272"/>
    <mergeCell ref="N272:N272"/>
    <mergeCell ref="O272:O272"/>
    <mergeCell ref="P272:P272"/>
    <mergeCell ref="Q272:Q272"/>
    <mergeCell ref="R272:R272"/>
    <mergeCell ref="S272:S272"/>
    <mergeCell ref="X272:X272"/>
    <mergeCell ref="Y272:Y272"/>
    <mergeCell ref="Z272:Z272"/>
    <mergeCell ref="AA272:AA272"/>
    <mergeCell ref="AB272:AB272"/>
    <mergeCell ref="AC272:AC272"/>
    <mergeCell ref="AD272:AD272"/>
    <mergeCell ref="AE272:AE272"/>
    <mergeCell ref="AF272:AF272"/>
    <mergeCell ref="A273:A273"/>
    <mergeCell ref="B273:B273"/>
    <mergeCell ref="C273:C273"/>
    <mergeCell ref="F273:F273"/>
    <mergeCell ref="G273:G273"/>
    <mergeCell ref="H273:H273"/>
    <mergeCell ref="M273:M273"/>
    <mergeCell ref="N273:N273"/>
    <mergeCell ref="O273:O273"/>
    <mergeCell ref="P273:P273"/>
    <mergeCell ref="Q273:Q273"/>
    <mergeCell ref="R273:R273"/>
    <mergeCell ref="S273:S273"/>
    <mergeCell ref="X273:X273"/>
    <mergeCell ref="Y273:Y273"/>
    <mergeCell ref="Z273:Z273"/>
    <mergeCell ref="AA273:AA273"/>
    <mergeCell ref="AB273:AB273"/>
    <mergeCell ref="AC273:AC273"/>
    <mergeCell ref="AD273:AD273"/>
    <mergeCell ref="AE273:AE273"/>
    <mergeCell ref="AF273:AF273"/>
    <mergeCell ref="A274:A274"/>
    <mergeCell ref="B274:B274"/>
    <mergeCell ref="C274:C274"/>
    <mergeCell ref="F274:F274"/>
    <mergeCell ref="G274:G274"/>
    <mergeCell ref="H274:H274"/>
    <mergeCell ref="M274:M274"/>
    <mergeCell ref="N274:N274"/>
    <mergeCell ref="O274:O274"/>
    <mergeCell ref="P274:P274"/>
    <mergeCell ref="Q274:Q274"/>
    <mergeCell ref="R274:R274"/>
    <mergeCell ref="S274:S274"/>
    <mergeCell ref="X274:X274"/>
    <mergeCell ref="Y274:Y274"/>
    <mergeCell ref="Z274:Z274"/>
    <mergeCell ref="AA274:AA274"/>
    <mergeCell ref="AB274:AB274"/>
    <mergeCell ref="AC274:AC274"/>
    <mergeCell ref="AD274:AD274"/>
    <mergeCell ref="AE274:AE274"/>
    <mergeCell ref="AF274:AF274"/>
    <mergeCell ref="A275:A275"/>
    <mergeCell ref="B275:B275"/>
    <mergeCell ref="C275:C275"/>
    <mergeCell ref="F275:F275"/>
    <mergeCell ref="G275:G275"/>
    <mergeCell ref="H275:H275"/>
    <mergeCell ref="M275:M275"/>
    <mergeCell ref="N275:N275"/>
    <mergeCell ref="O275:O275"/>
    <mergeCell ref="P275:P275"/>
    <mergeCell ref="Q275:Q275"/>
    <mergeCell ref="R275:R275"/>
    <mergeCell ref="S275:S275"/>
    <mergeCell ref="X275:X275"/>
    <mergeCell ref="Y275:Y275"/>
    <mergeCell ref="Z275:Z275"/>
    <mergeCell ref="AA275:AA275"/>
    <mergeCell ref="AB275:AB275"/>
    <mergeCell ref="AC275:AC275"/>
    <mergeCell ref="AD275:AD275"/>
    <mergeCell ref="AE275:AE275"/>
    <mergeCell ref="AF275:AF275"/>
    <mergeCell ref="A276:A276"/>
    <mergeCell ref="B276:B276"/>
    <mergeCell ref="C276:C276"/>
    <mergeCell ref="F276:F276"/>
    <mergeCell ref="G276:G276"/>
    <mergeCell ref="H276:H276"/>
    <mergeCell ref="M276:M276"/>
    <mergeCell ref="N276:N276"/>
    <mergeCell ref="O276:O276"/>
    <mergeCell ref="P276:P276"/>
    <mergeCell ref="Q276:Q276"/>
    <mergeCell ref="R276:R276"/>
    <mergeCell ref="S276:S276"/>
    <mergeCell ref="X276:X276"/>
    <mergeCell ref="Y276:Y276"/>
    <mergeCell ref="Z276:Z276"/>
    <mergeCell ref="AA276:AA276"/>
    <mergeCell ref="AB276:AB276"/>
    <mergeCell ref="AC276:AC276"/>
    <mergeCell ref="AD276:AD276"/>
    <mergeCell ref="AE276:AE276"/>
    <mergeCell ref="AF276:AF276"/>
    <mergeCell ref="A277:A277"/>
    <mergeCell ref="B277:B277"/>
    <mergeCell ref="C277:C277"/>
    <mergeCell ref="F277:F277"/>
    <mergeCell ref="G277:G277"/>
    <mergeCell ref="H277:H277"/>
    <mergeCell ref="M277:M277"/>
    <mergeCell ref="N277:N277"/>
    <mergeCell ref="O277:O277"/>
    <mergeCell ref="P277:P277"/>
    <mergeCell ref="Q277:Q277"/>
    <mergeCell ref="R277:R277"/>
    <mergeCell ref="S277:S277"/>
    <mergeCell ref="X277:X277"/>
    <mergeCell ref="Y277:Y277"/>
    <mergeCell ref="Z277:Z277"/>
    <mergeCell ref="AA277:AA277"/>
    <mergeCell ref="AB277:AB277"/>
    <mergeCell ref="AC277:AC277"/>
    <mergeCell ref="AD277:AD277"/>
    <mergeCell ref="AE277:AE277"/>
    <mergeCell ref="AF277:AF277"/>
    <mergeCell ref="A278:A278"/>
    <mergeCell ref="B278:B278"/>
    <mergeCell ref="C278:C278"/>
    <mergeCell ref="F278:F278"/>
    <mergeCell ref="G278:G278"/>
    <mergeCell ref="H278:H278"/>
    <mergeCell ref="M278:M278"/>
    <mergeCell ref="N278:N278"/>
    <mergeCell ref="O278:O278"/>
    <mergeCell ref="P278:P278"/>
    <mergeCell ref="Q278:Q278"/>
    <mergeCell ref="R278:R278"/>
    <mergeCell ref="S278:S278"/>
    <mergeCell ref="X278:X278"/>
    <mergeCell ref="Y278:Y278"/>
    <mergeCell ref="Z278:Z278"/>
    <mergeCell ref="AA278:AA278"/>
    <mergeCell ref="AB278:AB278"/>
    <mergeCell ref="AC278:AC278"/>
    <mergeCell ref="AD278:AD278"/>
    <mergeCell ref="AE278:AE278"/>
    <mergeCell ref="AF278:AF278"/>
    <mergeCell ref="A279:A279"/>
    <mergeCell ref="B279:B279"/>
    <mergeCell ref="C279:C279"/>
    <mergeCell ref="F279:F279"/>
    <mergeCell ref="G279:G279"/>
    <mergeCell ref="H279:H279"/>
    <mergeCell ref="M279:M279"/>
    <mergeCell ref="N279:N279"/>
    <mergeCell ref="O279:O279"/>
    <mergeCell ref="P279:P279"/>
    <mergeCell ref="Q279:Q279"/>
    <mergeCell ref="R279:R279"/>
    <mergeCell ref="S279:S279"/>
    <mergeCell ref="X279:X279"/>
    <mergeCell ref="Y279:Y279"/>
    <mergeCell ref="Z279:Z279"/>
    <mergeCell ref="AA279:AA279"/>
    <mergeCell ref="AB279:AB279"/>
    <mergeCell ref="AC279:AC279"/>
    <mergeCell ref="AD279:AD279"/>
    <mergeCell ref="AE279:AE279"/>
    <mergeCell ref="AF279:AF279"/>
    <mergeCell ref="A280:A280"/>
    <mergeCell ref="B280:B280"/>
    <mergeCell ref="C280:C280"/>
    <mergeCell ref="F280:F280"/>
    <mergeCell ref="G280:G280"/>
    <mergeCell ref="H280:H280"/>
    <mergeCell ref="M280:M280"/>
    <mergeCell ref="N280:N280"/>
    <mergeCell ref="O280:O280"/>
    <mergeCell ref="P280:P280"/>
    <mergeCell ref="Q280:Q280"/>
    <mergeCell ref="R280:R280"/>
    <mergeCell ref="S280:S280"/>
    <mergeCell ref="X280:X280"/>
    <mergeCell ref="Y280:Y280"/>
    <mergeCell ref="Z280:Z280"/>
    <mergeCell ref="AA280:AA280"/>
    <mergeCell ref="AB280:AB280"/>
    <mergeCell ref="AC280:AC280"/>
    <mergeCell ref="AD280:AD280"/>
    <mergeCell ref="AE280:AE280"/>
    <mergeCell ref="AF280:AF280"/>
    <mergeCell ref="A281:A281"/>
    <mergeCell ref="B281:B281"/>
    <mergeCell ref="C281:C281"/>
    <mergeCell ref="F281:F281"/>
    <mergeCell ref="G281:G281"/>
    <mergeCell ref="H281:H281"/>
    <mergeCell ref="M281:M281"/>
    <mergeCell ref="N281:N281"/>
    <mergeCell ref="O281:O281"/>
    <mergeCell ref="P281:P281"/>
    <mergeCell ref="Q281:Q281"/>
    <mergeCell ref="R281:R281"/>
    <mergeCell ref="S281:S281"/>
    <mergeCell ref="X281:X281"/>
    <mergeCell ref="Y281:Y281"/>
    <mergeCell ref="Z281:Z281"/>
    <mergeCell ref="AA281:AA281"/>
    <mergeCell ref="AB281:AB281"/>
    <mergeCell ref="AC281:AC281"/>
    <mergeCell ref="AD281:AD281"/>
    <mergeCell ref="AE281:AE281"/>
    <mergeCell ref="AF281:AF281"/>
    <mergeCell ref="A282:A282"/>
    <mergeCell ref="B282:B282"/>
    <mergeCell ref="C282:C282"/>
    <mergeCell ref="F282:F282"/>
    <mergeCell ref="G282:G282"/>
    <mergeCell ref="H282:H282"/>
    <mergeCell ref="M282:M282"/>
    <mergeCell ref="N282:N282"/>
    <mergeCell ref="O282:O282"/>
    <mergeCell ref="P282:P282"/>
    <mergeCell ref="Q282:Q282"/>
    <mergeCell ref="R282:R282"/>
    <mergeCell ref="S282:S282"/>
    <mergeCell ref="X282:X282"/>
    <mergeCell ref="Y282:Y282"/>
    <mergeCell ref="Z282:Z282"/>
    <mergeCell ref="AA282:AA282"/>
    <mergeCell ref="AB282:AB282"/>
    <mergeCell ref="AC282:AC282"/>
    <mergeCell ref="AD282:AD282"/>
    <mergeCell ref="AE282:AE282"/>
    <mergeCell ref="AF282:AF282"/>
    <mergeCell ref="A283:A283"/>
    <mergeCell ref="B283:B283"/>
    <mergeCell ref="C283:C283"/>
    <mergeCell ref="F283:F283"/>
    <mergeCell ref="G283:G283"/>
    <mergeCell ref="H283:H283"/>
    <mergeCell ref="M283:M283"/>
    <mergeCell ref="N283:N283"/>
    <mergeCell ref="O283:O283"/>
    <mergeCell ref="P283:P283"/>
    <mergeCell ref="Q283:Q283"/>
    <mergeCell ref="R283:R283"/>
    <mergeCell ref="S283:S283"/>
    <mergeCell ref="X283:X283"/>
    <mergeCell ref="Y283:Y283"/>
    <mergeCell ref="Z283:Z283"/>
    <mergeCell ref="AA283:AA283"/>
    <mergeCell ref="AB283:AB283"/>
    <mergeCell ref="AC283:AC283"/>
    <mergeCell ref="AD283:AD283"/>
    <mergeCell ref="AE283:AE283"/>
    <mergeCell ref="AF283:AF283"/>
    <mergeCell ref="A284:A284"/>
    <mergeCell ref="B284:B284"/>
    <mergeCell ref="C284:C284"/>
    <mergeCell ref="F284:F284"/>
    <mergeCell ref="G284:G284"/>
    <mergeCell ref="H284:H284"/>
    <mergeCell ref="M284:M284"/>
    <mergeCell ref="N284:N284"/>
    <mergeCell ref="O284:O284"/>
    <mergeCell ref="P284:P284"/>
    <mergeCell ref="Q284:Q284"/>
    <mergeCell ref="R284:R284"/>
    <mergeCell ref="S284:S284"/>
    <mergeCell ref="X284:X284"/>
    <mergeCell ref="Y284:Y284"/>
    <mergeCell ref="Z284:Z284"/>
    <mergeCell ref="AA284:AA284"/>
    <mergeCell ref="AB284:AB284"/>
    <mergeCell ref="AC284:AC284"/>
    <mergeCell ref="AD284:AD284"/>
    <mergeCell ref="AE284:AE284"/>
    <mergeCell ref="AF284:AF284"/>
    <mergeCell ref="A285:A285"/>
    <mergeCell ref="B285:B285"/>
    <mergeCell ref="C285:C285"/>
    <mergeCell ref="F285:F285"/>
    <mergeCell ref="G285:G285"/>
    <mergeCell ref="H285:H285"/>
    <mergeCell ref="M285:M285"/>
    <mergeCell ref="N285:N285"/>
    <mergeCell ref="O285:O285"/>
    <mergeCell ref="P285:P285"/>
    <mergeCell ref="Q285:Q285"/>
    <mergeCell ref="R285:R285"/>
    <mergeCell ref="S285:S285"/>
    <mergeCell ref="X285:X285"/>
    <mergeCell ref="Y285:Y285"/>
    <mergeCell ref="Z285:Z285"/>
    <mergeCell ref="AA285:AA285"/>
    <mergeCell ref="AB285:AB285"/>
    <mergeCell ref="AC285:AC285"/>
    <mergeCell ref="AD285:AD285"/>
    <mergeCell ref="AE285:AE285"/>
    <mergeCell ref="AF285:AF285"/>
    <mergeCell ref="A286:A286"/>
    <mergeCell ref="B286:B286"/>
    <mergeCell ref="C286:C286"/>
    <mergeCell ref="F286:F286"/>
    <mergeCell ref="G286:G286"/>
    <mergeCell ref="H286:H286"/>
    <mergeCell ref="M286:M286"/>
    <mergeCell ref="N286:N286"/>
    <mergeCell ref="O286:O286"/>
    <mergeCell ref="P286:P286"/>
    <mergeCell ref="Q286:Q286"/>
    <mergeCell ref="R286:R286"/>
    <mergeCell ref="S286:S286"/>
    <mergeCell ref="X286:X286"/>
    <mergeCell ref="Y286:Y286"/>
    <mergeCell ref="Z286:Z286"/>
    <mergeCell ref="AA286:AA286"/>
    <mergeCell ref="AB286:AB286"/>
    <mergeCell ref="AC286:AC286"/>
    <mergeCell ref="AD286:AD286"/>
    <mergeCell ref="AE286:AE286"/>
    <mergeCell ref="AF286:AF286"/>
    <mergeCell ref="A287:A287"/>
    <mergeCell ref="B287:B287"/>
    <mergeCell ref="C287:C287"/>
    <mergeCell ref="F287:F287"/>
    <mergeCell ref="G287:G287"/>
    <mergeCell ref="H287:H287"/>
    <mergeCell ref="M287:M287"/>
    <mergeCell ref="N287:N287"/>
    <mergeCell ref="O287:O287"/>
    <mergeCell ref="P287:P287"/>
    <mergeCell ref="Q287:Q287"/>
    <mergeCell ref="R287:R287"/>
    <mergeCell ref="S287:S287"/>
    <mergeCell ref="X287:X287"/>
    <mergeCell ref="Y287:Y287"/>
    <mergeCell ref="Z287:Z287"/>
    <mergeCell ref="AA287:AA287"/>
    <mergeCell ref="AB287:AB287"/>
    <mergeCell ref="AC287:AC287"/>
    <mergeCell ref="AD287:AD287"/>
    <mergeCell ref="AE287:AE287"/>
    <mergeCell ref="AF287:AF287"/>
    <mergeCell ref="A288:A288"/>
    <mergeCell ref="B288:B288"/>
    <mergeCell ref="C288:C288"/>
    <mergeCell ref="F288:F288"/>
    <mergeCell ref="G288:G288"/>
    <mergeCell ref="H288:H288"/>
    <mergeCell ref="M288:M288"/>
    <mergeCell ref="N288:N288"/>
    <mergeCell ref="O288:O288"/>
    <mergeCell ref="P288:P288"/>
    <mergeCell ref="Q288:Q288"/>
    <mergeCell ref="R288:R288"/>
    <mergeCell ref="S288:S288"/>
    <mergeCell ref="X288:X288"/>
    <mergeCell ref="Y288:Y288"/>
    <mergeCell ref="Z288:Z288"/>
    <mergeCell ref="AA288:AA288"/>
    <mergeCell ref="AB288:AB288"/>
    <mergeCell ref="AC288:AC288"/>
    <mergeCell ref="AD288:AD288"/>
    <mergeCell ref="AE288:AE288"/>
    <mergeCell ref="AF288:AF288"/>
    <mergeCell ref="A289:A289"/>
    <mergeCell ref="B289:B289"/>
    <mergeCell ref="C289:C289"/>
    <mergeCell ref="F289:F289"/>
    <mergeCell ref="G289:G289"/>
    <mergeCell ref="H289:H289"/>
    <mergeCell ref="M289:M289"/>
    <mergeCell ref="N289:N289"/>
    <mergeCell ref="O289:O289"/>
    <mergeCell ref="P289:P289"/>
    <mergeCell ref="Q289:Q289"/>
    <mergeCell ref="R289:R289"/>
    <mergeCell ref="S289:S289"/>
    <mergeCell ref="X289:X289"/>
    <mergeCell ref="Y289:Y289"/>
    <mergeCell ref="Z289:Z289"/>
    <mergeCell ref="AA289:AA289"/>
    <mergeCell ref="AB289:AB289"/>
    <mergeCell ref="AC289:AC289"/>
    <mergeCell ref="AD289:AD289"/>
    <mergeCell ref="AE289:AE289"/>
    <mergeCell ref="AF289:AF289"/>
    <mergeCell ref="A290:A290"/>
    <mergeCell ref="B290:B290"/>
    <mergeCell ref="C290:C290"/>
    <mergeCell ref="F290:F290"/>
    <mergeCell ref="G290:G290"/>
    <mergeCell ref="H290:H290"/>
    <mergeCell ref="M290:M290"/>
    <mergeCell ref="N290:N290"/>
    <mergeCell ref="O290:O290"/>
    <mergeCell ref="P290:P290"/>
    <mergeCell ref="Q290:Q290"/>
    <mergeCell ref="R290:R290"/>
    <mergeCell ref="S290:S290"/>
    <mergeCell ref="X290:X290"/>
    <mergeCell ref="Y290:Y290"/>
    <mergeCell ref="Z290:Z290"/>
    <mergeCell ref="AA290:AA290"/>
    <mergeCell ref="AB290:AB290"/>
    <mergeCell ref="AC290:AC290"/>
    <mergeCell ref="AD290:AD290"/>
    <mergeCell ref="AE290:AE290"/>
    <mergeCell ref="AF290:AF290"/>
    <mergeCell ref="A291:A291"/>
    <mergeCell ref="B291:B291"/>
    <mergeCell ref="C291:C291"/>
    <mergeCell ref="F291:F291"/>
    <mergeCell ref="G291:G291"/>
    <mergeCell ref="H291:H291"/>
    <mergeCell ref="M291:M291"/>
    <mergeCell ref="N291:N291"/>
    <mergeCell ref="O291:O291"/>
    <mergeCell ref="P291:P291"/>
    <mergeCell ref="Q291:Q291"/>
    <mergeCell ref="R291:R291"/>
    <mergeCell ref="S291:S291"/>
    <mergeCell ref="X291:X291"/>
    <mergeCell ref="Y291:Y291"/>
    <mergeCell ref="Z291:Z291"/>
    <mergeCell ref="AA291:AA291"/>
    <mergeCell ref="AB291:AB291"/>
    <mergeCell ref="AC291:AC291"/>
    <mergeCell ref="AD291:AD291"/>
    <mergeCell ref="AE291:AE291"/>
    <mergeCell ref="AF291:AF291"/>
    <mergeCell ref="A292:A292"/>
    <mergeCell ref="B292:B292"/>
    <mergeCell ref="C292:C292"/>
    <mergeCell ref="F292:F292"/>
    <mergeCell ref="G292:G292"/>
    <mergeCell ref="H292:H292"/>
    <mergeCell ref="M292:M292"/>
    <mergeCell ref="N292:N292"/>
    <mergeCell ref="O292:O292"/>
    <mergeCell ref="P292:P292"/>
    <mergeCell ref="Q292:Q292"/>
    <mergeCell ref="R292:R292"/>
    <mergeCell ref="S292:S292"/>
    <mergeCell ref="X292:X292"/>
    <mergeCell ref="Y292:Y292"/>
    <mergeCell ref="Z292:Z292"/>
    <mergeCell ref="AA292:AA292"/>
    <mergeCell ref="AB292:AB292"/>
    <mergeCell ref="AC292:AC292"/>
    <mergeCell ref="AD292:AD292"/>
    <mergeCell ref="AE292:AE292"/>
    <mergeCell ref="AF292:AF292"/>
    <mergeCell ref="A293:A293"/>
    <mergeCell ref="B293:B293"/>
    <mergeCell ref="C293:C293"/>
    <mergeCell ref="F293:F293"/>
    <mergeCell ref="G293:G293"/>
    <mergeCell ref="H293:H293"/>
    <mergeCell ref="M293:M293"/>
    <mergeCell ref="N293:N293"/>
    <mergeCell ref="O293:O293"/>
    <mergeCell ref="P293:P293"/>
    <mergeCell ref="Q293:Q293"/>
    <mergeCell ref="R293:R293"/>
    <mergeCell ref="S293:S293"/>
    <mergeCell ref="X293:X293"/>
    <mergeCell ref="Y293:Y293"/>
    <mergeCell ref="Z293:Z293"/>
    <mergeCell ref="AA293:AA293"/>
    <mergeCell ref="AB293:AB293"/>
    <mergeCell ref="AC293:AC293"/>
    <mergeCell ref="AD293:AD293"/>
    <mergeCell ref="AE293:AE293"/>
    <mergeCell ref="AF293:AF293"/>
    <mergeCell ref="A294:A294"/>
    <mergeCell ref="B294:B294"/>
    <mergeCell ref="C294:C294"/>
    <mergeCell ref="F294:F294"/>
    <mergeCell ref="G294:G294"/>
    <mergeCell ref="H294:H294"/>
    <mergeCell ref="M294:M294"/>
    <mergeCell ref="N294:N294"/>
    <mergeCell ref="O294:O294"/>
    <mergeCell ref="P294:P294"/>
    <mergeCell ref="Q294:Q294"/>
    <mergeCell ref="R294:R294"/>
    <mergeCell ref="S294:S294"/>
    <mergeCell ref="X294:X294"/>
    <mergeCell ref="Y294:Y294"/>
    <mergeCell ref="Z294:Z294"/>
    <mergeCell ref="AA294:AA294"/>
    <mergeCell ref="AB294:AB294"/>
    <mergeCell ref="AC294:AC294"/>
    <mergeCell ref="AD294:AD294"/>
    <mergeCell ref="AE294:AE294"/>
    <mergeCell ref="AF294:AF294"/>
    <mergeCell ref="A295:A295"/>
    <mergeCell ref="B295:B295"/>
    <mergeCell ref="C295:C295"/>
    <mergeCell ref="F295:F295"/>
    <mergeCell ref="G295:G295"/>
    <mergeCell ref="H295:H295"/>
    <mergeCell ref="M295:M295"/>
    <mergeCell ref="N295:N295"/>
    <mergeCell ref="O295:O295"/>
    <mergeCell ref="P295:P295"/>
    <mergeCell ref="Q295:Q295"/>
    <mergeCell ref="R295:R295"/>
    <mergeCell ref="S295:S295"/>
    <mergeCell ref="X295:X295"/>
    <mergeCell ref="Y295:Y295"/>
    <mergeCell ref="Z295:Z295"/>
    <mergeCell ref="AA295:AA295"/>
    <mergeCell ref="AB295:AB295"/>
    <mergeCell ref="AC295:AC295"/>
    <mergeCell ref="AD295:AD295"/>
    <mergeCell ref="AE295:AE295"/>
    <mergeCell ref="AF295:AF295"/>
    <mergeCell ref="A296:A296"/>
    <mergeCell ref="B296:B296"/>
    <mergeCell ref="C296:C296"/>
    <mergeCell ref="F296:F296"/>
    <mergeCell ref="G296:G296"/>
    <mergeCell ref="H296:H296"/>
    <mergeCell ref="M296:M296"/>
    <mergeCell ref="N296:N296"/>
    <mergeCell ref="O296:O296"/>
    <mergeCell ref="P296:P296"/>
    <mergeCell ref="Q296:Q296"/>
    <mergeCell ref="R296:R296"/>
    <mergeCell ref="S296:S296"/>
    <mergeCell ref="X296:X296"/>
    <mergeCell ref="Y296:Y296"/>
    <mergeCell ref="Z296:Z296"/>
    <mergeCell ref="AA296:AA296"/>
    <mergeCell ref="AB296:AB296"/>
    <mergeCell ref="AC296:AC296"/>
    <mergeCell ref="AD296:AD296"/>
    <mergeCell ref="AE296:AE296"/>
    <mergeCell ref="AF296:AF296"/>
    <mergeCell ref="A297:A297"/>
    <mergeCell ref="B297:B297"/>
    <mergeCell ref="C297:C297"/>
    <mergeCell ref="F297:F297"/>
    <mergeCell ref="G297:G297"/>
    <mergeCell ref="H297:H297"/>
    <mergeCell ref="M297:M297"/>
    <mergeCell ref="N297:N297"/>
    <mergeCell ref="O297:O297"/>
    <mergeCell ref="P297:P297"/>
    <mergeCell ref="Q297:Q297"/>
    <mergeCell ref="R297:R297"/>
    <mergeCell ref="S297:S297"/>
    <mergeCell ref="X297:X297"/>
    <mergeCell ref="Y297:Y297"/>
    <mergeCell ref="Z297:Z297"/>
    <mergeCell ref="AA297:AA297"/>
    <mergeCell ref="AB297:AB297"/>
    <mergeCell ref="AC297:AC297"/>
    <mergeCell ref="AD297:AD297"/>
    <mergeCell ref="AE297:AE297"/>
    <mergeCell ref="AF297:AF297"/>
    <mergeCell ref="A298:A298"/>
    <mergeCell ref="B298:B298"/>
    <mergeCell ref="C298:C298"/>
    <mergeCell ref="F298:F298"/>
    <mergeCell ref="G298:G298"/>
    <mergeCell ref="H298:H298"/>
    <mergeCell ref="M298:M298"/>
    <mergeCell ref="N298:N298"/>
    <mergeCell ref="O298:O298"/>
    <mergeCell ref="P298:P298"/>
    <mergeCell ref="Q298:Q298"/>
    <mergeCell ref="R298:R298"/>
    <mergeCell ref="S298:S298"/>
    <mergeCell ref="X298:X298"/>
    <mergeCell ref="Y298:Y298"/>
    <mergeCell ref="Z298:Z298"/>
    <mergeCell ref="AA298:AA298"/>
    <mergeCell ref="AB298:AB298"/>
    <mergeCell ref="AC298:AC298"/>
    <mergeCell ref="AD298:AD298"/>
    <mergeCell ref="AE298:AE298"/>
    <mergeCell ref="AF298:AF298"/>
    <mergeCell ref="A299:A299"/>
    <mergeCell ref="B299:B299"/>
    <mergeCell ref="C299:C299"/>
    <mergeCell ref="F299:F299"/>
    <mergeCell ref="G299:G299"/>
    <mergeCell ref="H299:H299"/>
    <mergeCell ref="M299:M299"/>
    <mergeCell ref="N299:N299"/>
    <mergeCell ref="O299:O299"/>
    <mergeCell ref="P299:P299"/>
    <mergeCell ref="Q299:Q299"/>
    <mergeCell ref="R299:R299"/>
    <mergeCell ref="S299:S299"/>
    <mergeCell ref="X299:X299"/>
    <mergeCell ref="Y299:Y299"/>
    <mergeCell ref="Z299:Z299"/>
    <mergeCell ref="AA299:AA299"/>
    <mergeCell ref="AB299:AB299"/>
    <mergeCell ref="AC299:AC299"/>
    <mergeCell ref="AD299:AD299"/>
    <mergeCell ref="AE299:AE299"/>
    <mergeCell ref="AF299:AF299"/>
    <mergeCell ref="A300:A300"/>
    <mergeCell ref="B300:B300"/>
    <mergeCell ref="C300:C300"/>
    <mergeCell ref="F300:F300"/>
    <mergeCell ref="G300:G300"/>
    <mergeCell ref="H300:H300"/>
    <mergeCell ref="M300:M300"/>
    <mergeCell ref="N300:N300"/>
    <mergeCell ref="O300:O300"/>
    <mergeCell ref="P300:P300"/>
    <mergeCell ref="Q300:Q300"/>
    <mergeCell ref="R300:R300"/>
    <mergeCell ref="S300:S300"/>
    <mergeCell ref="X300:X300"/>
    <mergeCell ref="Y300:Y300"/>
    <mergeCell ref="Z300:Z300"/>
    <mergeCell ref="AA300:AA300"/>
    <mergeCell ref="AB300:AB300"/>
    <mergeCell ref="AC300:AC300"/>
    <mergeCell ref="AD300:AD300"/>
    <mergeCell ref="AE300:AE300"/>
    <mergeCell ref="AF300:AF300"/>
    <mergeCell ref="A301:A301"/>
    <mergeCell ref="B301:B301"/>
    <mergeCell ref="C301:C301"/>
    <mergeCell ref="F301:F301"/>
    <mergeCell ref="G301:G301"/>
    <mergeCell ref="H301:H301"/>
    <mergeCell ref="M301:M301"/>
    <mergeCell ref="N301:N301"/>
    <mergeCell ref="O301:O301"/>
    <mergeCell ref="P301:P301"/>
    <mergeCell ref="Q301:Q301"/>
    <mergeCell ref="R301:R301"/>
    <mergeCell ref="S301:S301"/>
    <mergeCell ref="X301:X301"/>
    <mergeCell ref="Y301:Y301"/>
    <mergeCell ref="Z301:Z301"/>
    <mergeCell ref="AA301:AA301"/>
    <mergeCell ref="AB301:AB301"/>
    <mergeCell ref="AC301:AC301"/>
    <mergeCell ref="AD301:AD301"/>
    <mergeCell ref="AE301:AE301"/>
    <mergeCell ref="AF301:AF301"/>
    <mergeCell ref="A302:A302"/>
    <mergeCell ref="B302:B302"/>
    <mergeCell ref="C302:C302"/>
    <mergeCell ref="F302:F302"/>
    <mergeCell ref="G302:G302"/>
    <mergeCell ref="H302:H302"/>
    <mergeCell ref="M302:M302"/>
    <mergeCell ref="N302:N302"/>
    <mergeCell ref="O302:O302"/>
    <mergeCell ref="P302:P302"/>
    <mergeCell ref="Q302:Q302"/>
    <mergeCell ref="R302:R302"/>
    <mergeCell ref="S302:S302"/>
    <mergeCell ref="X302:X302"/>
    <mergeCell ref="Y302:Y302"/>
    <mergeCell ref="Z302:Z302"/>
    <mergeCell ref="AA302:AA302"/>
    <mergeCell ref="AB302:AB302"/>
    <mergeCell ref="AC302:AC302"/>
    <mergeCell ref="AD302:AD302"/>
    <mergeCell ref="AE302:AE302"/>
    <mergeCell ref="AF302:AF302"/>
    <mergeCell ref="A303:A303"/>
    <mergeCell ref="B303:B303"/>
    <mergeCell ref="C303:C303"/>
    <mergeCell ref="F303:F303"/>
    <mergeCell ref="G303:G303"/>
    <mergeCell ref="H303:H303"/>
    <mergeCell ref="M303:M303"/>
    <mergeCell ref="N303:N303"/>
    <mergeCell ref="O303:O303"/>
    <mergeCell ref="P303:P303"/>
    <mergeCell ref="Q303:Q303"/>
    <mergeCell ref="R303:R303"/>
    <mergeCell ref="S303:S303"/>
    <mergeCell ref="X303:X303"/>
    <mergeCell ref="Y303:Y303"/>
    <mergeCell ref="Z303:Z303"/>
    <mergeCell ref="AA303:AA303"/>
    <mergeCell ref="AB303:AB303"/>
    <mergeCell ref="AC303:AC303"/>
    <mergeCell ref="AD303:AD303"/>
    <mergeCell ref="AE303:AE303"/>
    <mergeCell ref="AF303:AF303"/>
    <mergeCell ref="A304:A304"/>
    <mergeCell ref="B304:B304"/>
    <mergeCell ref="C304:C304"/>
    <mergeCell ref="F304:F304"/>
    <mergeCell ref="G304:G304"/>
    <mergeCell ref="H304:H304"/>
    <mergeCell ref="M304:M304"/>
    <mergeCell ref="N304:N304"/>
    <mergeCell ref="O304:O304"/>
    <mergeCell ref="P304:P304"/>
    <mergeCell ref="Q304:Q304"/>
    <mergeCell ref="R304:R304"/>
    <mergeCell ref="S304:S304"/>
    <mergeCell ref="X304:X304"/>
    <mergeCell ref="Y304:Y304"/>
    <mergeCell ref="Z304:Z304"/>
    <mergeCell ref="AA304:AA304"/>
    <mergeCell ref="AB304:AB304"/>
    <mergeCell ref="AC304:AC304"/>
    <mergeCell ref="AD304:AD304"/>
    <mergeCell ref="AE304:AE304"/>
    <mergeCell ref="AF304:AF304"/>
    <mergeCell ref="A305:A305"/>
    <mergeCell ref="B305:B305"/>
    <mergeCell ref="C305:C305"/>
    <mergeCell ref="F305:F305"/>
    <mergeCell ref="G305:G305"/>
    <mergeCell ref="H305:H305"/>
    <mergeCell ref="M305:M305"/>
    <mergeCell ref="N305:N305"/>
    <mergeCell ref="O305:O305"/>
    <mergeCell ref="P305:P305"/>
    <mergeCell ref="Q305:Q305"/>
    <mergeCell ref="R305:R305"/>
    <mergeCell ref="S305:S305"/>
    <mergeCell ref="X305:X305"/>
    <mergeCell ref="Y305:Y305"/>
    <mergeCell ref="Z305:Z305"/>
    <mergeCell ref="AA305:AA305"/>
    <mergeCell ref="AB305:AB305"/>
    <mergeCell ref="AC305:AC305"/>
    <mergeCell ref="AD305:AD305"/>
    <mergeCell ref="AE305:AE305"/>
    <mergeCell ref="AF305:AF305"/>
    <mergeCell ref="A306:A306"/>
    <mergeCell ref="B306:B306"/>
    <mergeCell ref="C306:C306"/>
    <mergeCell ref="F306:F306"/>
    <mergeCell ref="G306:G306"/>
    <mergeCell ref="H306:H306"/>
    <mergeCell ref="M306:M306"/>
    <mergeCell ref="N306:N306"/>
    <mergeCell ref="O306:O306"/>
    <mergeCell ref="P306:P306"/>
    <mergeCell ref="Q306:Q306"/>
    <mergeCell ref="R306:R306"/>
    <mergeCell ref="S306:S306"/>
    <mergeCell ref="X306:X306"/>
    <mergeCell ref="Y306:Y306"/>
    <mergeCell ref="Z306:Z306"/>
    <mergeCell ref="AA306:AA306"/>
    <mergeCell ref="AB306:AB306"/>
    <mergeCell ref="AC306:AC306"/>
    <mergeCell ref="AD306:AD306"/>
    <mergeCell ref="AE306:AE306"/>
    <mergeCell ref="AF306:AF306"/>
    <mergeCell ref="A307:A307"/>
    <mergeCell ref="B307:B307"/>
    <mergeCell ref="C307:C307"/>
    <mergeCell ref="F307:F307"/>
    <mergeCell ref="G307:G307"/>
    <mergeCell ref="H307:H307"/>
    <mergeCell ref="M307:M307"/>
    <mergeCell ref="N307:N307"/>
    <mergeCell ref="O307:O307"/>
    <mergeCell ref="P307:P307"/>
    <mergeCell ref="Q307:Q307"/>
    <mergeCell ref="R307:R307"/>
    <mergeCell ref="S307:S307"/>
    <mergeCell ref="X307:X307"/>
    <mergeCell ref="Y307:Y307"/>
    <mergeCell ref="Z307:Z307"/>
    <mergeCell ref="AA307:AA307"/>
    <mergeCell ref="AB307:AB307"/>
    <mergeCell ref="AC307:AC307"/>
    <mergeCell ref="AD307:AD307"/>
    <mergeCell ref="AE307:AE307"/>
    <mergeCell ref="AF307:AF307"/>
    <mergeCell ref="A308:A308"/>
    <mergeCell ref="B308:B308"/>
    <mergeCell ref="C308:C308"/>
    <mergeCell ref="F308:F308"/>
    <mergeCell ref="G308:G308"/>
    <mergeCell ref="H308:H308"/>
    <mergeCell ref="M308:M308"/>
    <mergeCell ref="N308:N308"/>
    <mergeCell ref="O308:O308"/>
    <mergeCell ref="P308:P308"/>
    <mergeCell ref="Q308:Q308"/>
    <mergeCell ref="R308:R308"/>
    <mergeCell ref="S308:S308"/>
    <mergeCell ref="X308:X308"/>
    <mergeCell ref="Y308:Y308"/>
    <mergeCell ref="Z308:Z308"/>
    <mergeCell ref="AA308:AA308"/>
    <mergeCell ref="AB308:AB308"/>
    <mergeCell ref="AC308:AC308"/>
    <mergeCell ref="AD308:AD308"/>
    <mergeCell ref="AE308:AE308"/>
    <mergeCell ref="AF308:AF308"/>
    <mergeCell ref="A309:A309"/>
    <mergeCell ref="B309:B309"/>
    <mergeCell ref="C309:C309"/>
    <mergeCell ref="F309:F309"/>
    <mergeCell ref="G309:G309"/>
    <mergeCell ref="H309:H309"/>
    <mergeCell ref="M309:M309"/>
    <mergeCell ref="N309:N309"/>
    <mergeCell ref="O309:O309"/>
    <mergeCell ref="P309:P309"/>
    <mergeCell ref="Q309:Q309"/>
    <mergeCell ref="R309:R309"/>
    <mergeCell ref="S309:S309"/>
    <mergeCell ref="X309:X309"/>
    <mergeCell ref="Y309:Y309"/>
    <mergeCell ref="Z309:Z309"/>
    <mergeCell ref="AA309:AA309"/>
    <mergeCell ref="AB309:AB309"/>
    <mergeCell ref="AC309:AC309"/>
    <mergeCell ref="AD309:AD309"/>
    <mergeCell ref="AE309:AE309"/>
    <mergeCell ref="AF309:AF309"/>
    <mergeCell ref="A310:A310"/>
    <mergeCell ref="B310:B310"/>
    <mergeCell ref="C310:C310"/>
    <mergeCell ref="F310:F310"/>
    <mergeCell ref="G310:G310"/>
    <mergeCell ref="H310:H310"/>
    <mergeCell ref="M310:M310"/>
    <mergeCell ref="N310:N310"/>
    <mergeCell ref="O310:O310"/>
    <mergeCell ref="P310:P310"/>
    <mergeCell ref="Q310:Q310"/>
    <mergeCell ref="R310:R310"/>
    <mergeCell ref="S310:S310"/>
    <mergeCell ref="X310:X310"/>
    <mergeCell ref="Y310:Y310"/>
    <mergeCell ref="Z310:Z310"/>
    <mergeCell ref="AA310:AA310"/>
    <mergeCell ref="AB310:AB310"/>
    <mergeCell ref="AC310:AC310"/>
    <mergeCell ref="AD310:AD310"/>
    <mergeCell ref="AE310:AE310"/>
    <mergeCell ref="AF310:AF310"/>
    <mergeCell ref="A311:A311"/>
    <mergeCell ref="B311:B311"/>
    <mergeCell ref="C311:C311"/>
    <mergeCell ref="F311:F311"/>
    <mergeCell ref="G311:G311"/>
    <mergeCell ref="H311:H311"/>
    <mergeCell ref="M311:M311"/>
    <mergeCell ref="N311:N311"/>
    <mergeCell ref="O311:O311"/>
    <mergeCell ref="P311:P311"/>
    <mergeCell ref="Q311:Q311"/>
    <mergeCell ref="R311:R311"/>
    <mergeCell ref="S311:S311"/>
    <mergeCell ref="X311:X311"/>
    <mergeCell ref="Y311:Y311"/>
    <mergeCell ref="Z311:Z311"/>
    <mergeCell ref="AA311:AA311"/>
    <mergeCell ref="AB311:AB311"/>
    <mergeCell ref="AC311:AC311"/>
    <mergeCell ref="AD311:AD311"/>
    <mergeCell ref="AE311:AE311"/>
    <mergeCell ref="AF311:AF311"/>
    <mergeCell ref="A312:A312"/>
    <mergeCell ref="B312:B312"/>
    <mergeCell ref="C312:C312"/>
    <mergeCell ref="F312:F312"/>
    <mergeCell ref="G312:G312"/>
    <mergeCell ref="H312:H312"/>
    <mergeCell ref="M312:M312"/>
    <mergeCell ref="N312:N312"/>
    <mergeCell ref="O312:O312"/>
    <mergeCell ref="P312:P312"/>
    <mergeCell ref="Q312:Q312"/>
    <mergeCell ref="R312:R312"/>
    <mergeCell ref="S312:S312"/>
    <mergeCell ref="X312:X312"/>
    <mergeCell ref="Y312:Y312"/>
    <mergeCell ref="Z312:Z312"/>
    <mergeCell ref="AA312:AA312"/>
    <mergeCell ref="AB312:AB312"/>
    <mergeCell ref="AC312:AC312"/>
    <mergeCell ref="AD312:AD312"/>
    <mergeCell ref="AE312:AE312"/>
    <mergeCell ref="AF312:AF312"/>
    <mergeCell ref="A313:A313"/>
    <mergeCell ref="B313:B313"/>
    <mergeCell ref="C313:C313"/>
    <mergeCell ref="F313:F313"/>
    <mergeCell ref="G313:G313"/>
    <mergeCell ref="H313:H313"/>
    <mergeCell ref="M313:M313"/>
    <mergeCell ref="N313:N313"/>
    <mergeCell ref="O313:O313"/>
    <mergeCell ref="P313:P313"/>
    <mergeCell ref="Q313:Q313"/>
    <mergeCell ref="R313:R313"/>
    <mergeCell ref="S313:S313"/>
    <mergeCell ref="X313:X313"/>
    <mergeCell ref="Y313:Y313"/>
    <mergeCell ref="Z313:Z313"/>
    <mergeCell ref="AA313:AA313"/>
    <mergeCell ref="AB313:AB313"/>
    <mergeCell ref="AC313:AC313"/>
    <mergeCell ref="AD313:AD313"/>
    <mergeCell ref="AE313:AE313"/>
    <mergeCell ref="AF313:AF313"/>
    <mergeCell ref="A314:A314"/>
    <mergeCell ref="B314:B314"/>
    <mergeCell ref="C314:C314"/>
    <mergeCell ref="F314:F314"/>
    <mergeCell ref="G314:G314"/>
    <mergeCell ref="H314:H314"/>
    <mergeCell ref="M314:M314"/>
    <mergeCell ref="N314:N314"/>
    <mergeCell ref="O314:O314"/>
    <mergeCell ref="P314:P314"/>
    <mergeCell ref="Q314:Q314"/>
    <mergeCell ref="R314:R314"/>
    <mergeCell ref="S314:S314"/>
    <mergeCell ref="X314:X314"/>
    <mergeCell ref="Y314:Y314"/>
    <mergeCell ref="Z314:Z314"/>
    <mergeCell ref="AA314:AA314"/>
    <mergeCell ref="AB314:AB314"/>
    <mergeCell ref="AC314:AC314"/>
    <mergeCell ref="AD314:AD314"/>
    <mergeCell ref="AE314:AE314"/>
    <mergeCell ref="AF314:AF314"/>
    <mergeCell ref="A315:A315"/>
    <mergeCell ref="B315:B315"/>
    <mergeCell ref="C315:C315"/>
    <mergeCell ref="F315:F315"/>
    <mergeCell ref="G315:G315"/>
    <mergeCell ref="H315:H315"/>
    <mergeCell ref="M315:M315"/>
    <mergeCell ref="N315:N315"/>
    <mergeCell ref="O315:O315"/>
    <mergeCell ref="P315:P315"/>
    <mergeCell ref="Q315:Q315"/>
    <mergeCell ref="R315:R315"/>
    <mergeCell ref="S315:S315"/>
    <mergeCell ref="X315:X315"/>
    <mergeCell ref="Y315:Y315"/>
    <mergeCell ref="Z315:Z315"/>
    <mergeCell ref="AA315:AA315"/>
    <mergeCell ref="AB315:AB315"/>
    <mergeCell ref="AC315:AC315"/>
    <mergeCell ref="AD315:AD315"/>
    <mergeCell ref="AE315:AE315"/>
    <mergeCell ref="AF315:AF315"/>
    <mergeCell ref="A316:A316"/>
    <mergeCell ref="B316:B316"/>
    <mergeCell ref="C316:C316"/>
    <mergeCell ref="F316:F316"/>
    <mergeCell ref="G316:G316"/>
    <mergeCell ref="H316:H316"/>
    <mergeCell ref="M316:M316"/>
    <mergeCell ref="N316:N316"/>
    <mergeCell ref="O316:O316"/>
    <mergeCell ref="P316:P316"/>
    <mergeCell ref="Q316:Q316"/>
    <mergeCell ref="R316:R316"/>
    <mergeCell ref="S316:S316"/>
    <mergeCell ref="X316:X316"/>
    <mergeCell ref="Y316:Y316"/>
    <mergeCell ref="Z316:Z316"/>
    <mergeCell ref="AA316:AA316"/>
    <mergeCell ref="AB316:AB316"/>
    <mergeCell ref="AC316:AC316"/>
    <mergeCell ref="AD316:AD316"/>
    <mergeCell ref="AE316:AE316"/>
    <mergeCell ref="AF316:AF316"/>
    <mergeCell ref="A317:A317"/>
    <mergeCell ref="B317:B317"/>
    <mergeCell ref="C317:C317"/>
    <mergeCell ref="F317:F317"/>
    <mergeCell ref="G317:G317"/>
    <mergeCell ref="H317:H317"/>
    <mergeCell ref="M317:M317"/>
    <mergeCell ref="N317:N317"/>
    <mergeCell ref="O317:O317"/>
    <mergeCell ref="P317:P317"/>
    <mergeCell ref="Q317:Q317"/>
    <mergeCell ref="R317:R317"/>
    <mergeCell ref="S317:S317"/>
    <mergeCell ref="X317:X317"/>
    <mergeCell ref="Y317:Y317"/>
    <mergeCell ref="Z317:Z317"/>
    <mergeCell ref="AA317:AA317"/>
    <mergeCell ref="AB317:AB317"/>
    <mergeCell ref="AC317:AC317"/>
    <mergeCell ref="AD317:AD317"/>
    <mergeCell ref="AE317:AE317"/>
    <mergeCell ref="AF317:AF317"/>
    <mergeCell ref="A318:A318"/>
    <mergeCell ref="B318:B318"/>
    <mergeCell ref="C318:C318"/>
    <mergeCell ref="F318:F318"/>
    <mergeCell ref="G318:G318"/>
    <mergeCell ref="H318:H318"/>
    <mergeCell ref="M318:M318"/>
    <mergeCell ref="N318:N318"/>
    <mergeCell ref="O318:O318"/>
    <mergeCell ref="P318:P318"/>
    <mergeCell ref="Q318:Q318"/>
    <mergeCell ref="R318:R318"/>
    <mergeCell ref="S318:S318"/>
    <mergeCell ref="X318:X318"/>
    <mergeCell ref="Y318:Y318"/>
    <mergeCell ref="Z318:Z318"/>
    <mergeCell ref="AA318:AA318"/>
    <mergeCell ref="AB318:AB318"/>
    <mergeCell ref="AC318:AC318"/>
    <mergeCell ref="AD318:AD318"/>
    <mergeCell ref="AE318:AE318"/>
    <mergeCell ref="AF318:AF318"/>
    <mergeCell ref="A319:A319"/>
    <mergeCell ref="B319:B319"/>
    <mergeCell ref="C319:C319"/>
    <mergeCell ref="F319:F319"/>
    <mergeCell ref="G319:G319"/>
    <mergeCell ref="H319:H319"/>
    <mergeCell ref="M319:M319"/>
    <mergeCell ref="N319:N319"/>
    <mergeCell ref="O319:O319"/>
    <mergeCell ref="P319:P319"/>
    <mergeCell ref="Q319:Q319"/>
    <mergeCell ref="R319:R319"/>
    <mergeCell ref="S319:S319"/>
    <mergeCell ref="X319:X319"/>
    <mergeCell ref="Y319:Y319"/>
    <mergeCell ref="Z319:Z319"/>
    <mergeCell ref="AA319:AA319"/>
    <mergeCell ref="AB319:AB319"/>
    <mergeCell ref="AC319:AC319"/>
    <mergeCell ref="AD319:AD319"/>
    <mergeCell ref="AE319:AE319"/>
    <mergeCell ref="AF319:AF319"/>
    <mergeCell ref="A320:A320"/>
    <mergeCell ref="B320:B320"/>
    <mergeCell ref="C320:C320"/>
    <mergeCell ref="F320:F320"/>
    <mergeCell ref="G320:G320"/>
    <mergeCell ref="H320:H320"/>
    <mergeCell ref="M320:M320"/>
    <mergeCell ref="N320:N320"/>
    <mergeCell ref="O320:O320"/>
    <mergeCell ref="P320:P320"/>
    <mergeCell ref="Q320:Q320"/>
    <mergeCell ref="R320:R320"/>
    <mergeCell ref="S320:S320"/>
    <mergeCell ref="X320:X320"/>
    <mergeCell ref="Y320:Y320"/>
    <mergeCell ref="Z320:Z320"/>
    <mergeCell ref="AA320:AA320"/>
    <mergeCell ref="AB320:AB320"/>
    <mergeCell ref="AC320:AC320"/>
    <mergeCell ref="AD320:AD320"/>
    <mergeCell ref="AE320:AE320"/>
    <mergeCell ref="AF320:AF320"/>
    <mergeCell ref="A321:A321"/>
    <mergeCell ref="B321:B321"/>
    <mergeCell ref="C321:C321"/>
    <mergeCell ref="F321:F321"/>
    <mergeCell ref="G321:G321"/>
    <mergeCell ref="H321:H321"/>
    <mergeCell ref="M321:M321"/>
    <mergeCell ref="N321:N321"/>
    <mergeCell ref="O321:O321"/>
    <mergeCell ref="P321:P321"/>
    <mergeCell ref="Q321:Q321"/>
    <mergeCell ref="R321:R321"/>
    <mergeCell ref="S321:S321"/>
    <mergeCell ref="X321:X321"/>
    <mergeCell ref="Y321:Y321"/>
    <mergeCell ref="Z321:Z321"/>
    <mergeCell ref="AA321:AA321"/>
    <mergeCell ref="AB321:AB321"/>
    <mergeCell ref="AC321:AC321"/>
    <mergeCell ref="AD321:AD321"/>
    <mergeCell ref="AE321:AE321"/>
    <mergeCell ref="AF321:AF321"/>
    <mergeCell ref="A322:A322"/>
    <mergeCell ref="B322:B322"/>
    <mergeCell ref="C322:C322"/>
    <mergeCell ref="F322:F322"/>
    <mergeCell ref="G322:G322"/>
    <mergeCell ref="H322:H322"/>
    <mergeCell ref="M322:M322"/>
    <mergeCell ref="N322:N322"/>
    <mergeCell ref="O322:O322"/>
    <mergeCell ref="P322:P322"/>
    <mergeCell ref="Q322:Q322"/>
    <mergeCell ref="R322:R322"/>
    <mergeCell ref="S322:S322"/>
    <mergeCell ref="X322:X322"/>
    <mergeCell ref="Y322:Y322"/>
    <mergeCell ref="Z322:Z322"/>
    <mergeCell ref="AA322:AA322"/>
    <mergeCell ref="AB322:AB322"/>
    <mergeCell ref="AC322:AC322"/>
    <mergeCell ref="AD322:AD322"/>
    <mergeCell ref="AE322:AE322"/>
    <mergeCell ref="AF322:AF322"/>
    <mergeCell ref="A323:A323"/>
    <mergeCell ref="B323:B323"/>
    <mergeCell ref="C323:C323"/>
    <mergeCell ref="F323:F323"/>
    <mergeCell ref="G323:G323"/>
    <mergeCell ref="H323:H323"/>
    <mergeCell ref="M323:M323"/>
    <mergeCell ref="N323:N323"/>
    <mergeCell ref="O323:O323"/>
    <mergeCell ref="P323:P323"/>
    <mergeCell ref="Q323:Q323"/>
    <mergeCell ref="R323:R323"/>
    <mergeCell ref="S323:S323"/>
    <mergeCell ref="X323:X323"/>
    <mergeCell ref="Y323:Y323"/>
    <mergeCell ref="Z323:Z323"/>
    <mergeCell ref="AA323:AA323"/>
    <mergeCell ref="AB323:AB323"/>
    <mergeCell ref="AC323:AC323"/>
    <mergeCell ref="AD323:AD323"/>
    <mergeCell ref="AE323:AE323"/>
    <mergeCell ref="AF323:AF323"/>
    <mergeCell ref="A324:A324"/>
    <mergeCell ref="B324:B324"/>
    <mergeCell ref="C324:C324"/>
    <mergeCell ref="F324:F324"/>
    <mergeCell ref="G324:G324"/>
    <mergeCell ref="H324:H324"/>
    <mergeCell ref="M324:M324"/>
    <mergeCell ref="N324:N324"/>
    <mergeCell ref="O324:O324"/>
    <mergeCell ref="P324:P324"/>
    <mergeCell ref="Q324:Q324"/>
    <mergeCell ref="R324:R324"/>
    <mergeCell ref="S324:S324"/>
    <mergeCell ref="X324:X324"/>
    <mergeCell ref="Y324:Y324"/>
    <mergeCell ref="Z324:Z324"/>
    <mergeCell ref="AA324:AA324"/>
    <mergeCell ref="AB324:AB324"/>
    <mergeCell ref="AC324:AC324"/>
    <mergeCell ref="AD324:AD324"/>
    <mergeCell ref="AE324:AE324"/>
    <mergeCell ref="AF324:AF324"/>
    <mergeCell ref="A325:A325"/>
    <mergeCell ref="B325:B325"/>
    <mergeCell ref="C325:C325"/>
    <mergeCell ref="F325:F325"/>
    <mergeCell ref="G325:G325"/>
    <mergeCell ref="H325:H325"/>
    <mergeCell ref="M325:M325"/>
    <mergeCell ref="N325:N325"/>
    <mergeCell ref="O325:O325"/>
    <mergeCell ref="P325:P325"/>
    <mergeCell ref="Q325:Q325"/>
    <mergeCell ref="R325:R325"/>
    <mergeCell ref="S325:S325"/>
    <mergeCell ref="X325:X325"/>
    <mergeCell ref="Y325:Y325"/>
    <mergeCell ref="Z325:Z325"/>
    <mergeCell ref="AA325:AA325"/>
    <mergeCell ref="AB325:AB325"/>
    <mergeCell ref="AC325:AC325"/>
    <mergeCell ref="AD325:AD325"/>
    <mergeCell ref="AE325:AE325"/>
    <mergeCell ref="AF325:AF325"/>
    <mergeCell ref="A326:A326"/>
    <mergeCell ref="B326:B326"/>
    <mergeCell ref="C326:C326"/>
    <mergeCell ref="F326:F326"/>
    <mergeCell ref="G326:G326"/>
    <mergeCell ref="H326:H326"/>
    <mergeCell ref="M326:M326"/>
    <mergeCell ref="N326:N326"/>
    <mergeCell ref="O326:O326"/>
    <mergeCell ref="P326:P326"/>
    <mergeCell ref="Q326:Q326"/>
    <mergeCell ref="R326:R326"/>
    <mergeCell ref="S326:S326"/>
    <mergeCell ref="X326:X326"/>
    <mergeCell ref="Y326:Y326"/>
    <mergeCell ref="Z326:Z326"/>
    <mergeCell ref="AA326:AA326"/>
    <mergeCell ref="AB326:AB326"/>
    <mergeCell ref="AC326:AC326"/>
    <mergeCell ref="AD326:AD326"/>
    <mergeCell ref="AE326:AE326"/>
    <mergeCell ref="AF326:AF326"/>
    <mergeCell ref="A327:A327"/>
    <mergeCell ref="B327:B327"/>
    <mergeCell ref="C327:C327"/>
    <mergeCell ref="F327:F327"/>
    <mergeCell ref="G327:G327"/>
    <mergeCell ref="H327:H327"/>
    <mergeCell ref="M327:M327"/>
    <mergeCell ref="N327:N327"/>
    <mergeCell ref="O327:O327"/>
    <mergeCell ref="P327:P327"/>
    <mergeCell ref="Q327:Q327"/>
    <mergeCell ref="R327:R327"/>
    <mergeCell ref="S327:S327"/>
    <mergeCell ref="X327:X327"/>
    <mergeCell ref="Y327:Y327"/>
    <mergeCell ref="Z327:Z327"/>
    <mergeCell ref="AA327:AA327"/>
    <mergeCell ref="AB327:AB327"/>
    <mergeCell ref="AC327:AC327"/>
    <mergeCell ref="AD327:AD327"/>
    <mergeCell ref="AE327:AE327"/>
    <mergeCell ref="AF327:AF327"/>
    <mergeCell ref="A328:A328"/>
    <mergeCell ref="B328:B328"/>
    <mergeCell ref="C328:C328"/>
    <mergeCell ref="F328:F328"/>
    <mergeCell ref="G328:G328"/>
    <mergeCell ref="H328:H328"/>
    <mergeCell ref="M328:M328"/>
    <mergeCell ref="N328:N328"/>
    <mergeCell ref="O328:O328"/>
    <mergeCell ref="P328:P328"/>
    <mergeCell ref="Q328:Q328"/>
    <mergeCell ref="R328:R328"/>
    <mergeCell ref="S328:S328"/>
    <mergeCell ref="X328:X328"/>
    <mergeCell ref="Y328:Y328"/>
    <mergeCell ref="Z328:Z328"/>
    <mergeCell ref="AA328:AA328"/>
    <mergeCell ref="AB328:AB328"/>
    <mergeCell ref="AC328:AC328"/>
    <mergeCell ref="AD328:AD328"/>
    <mergeCell ref="AE328:AE328"/>
    <mergeCell ref="AF328:AF328"/>
    <mergeCell ref="A329:A329"/>
    <mergeCell ref="B329:B329"/>
    <mergeCell ref="C329:C329"/>
    <mergeCell ref="F329:F329"/>
    <mergeCell ref="G329:G329"/>
    <mergeCell ref="H329:H329"/>
    <mergeCell ref="M329:M329"/>
    <mergeCell ref="N329:N329"/>
    <mergeCell ref="O329:O329"/>
    <mergeCell ref="P329:P329"/>
    <mergeCell ref="Q329:Q329"/>
    <mergeCell ref="R329:R329"/>
    <mergeCell ref="S329:S329"/>
    <mergeCell ref="X329:X329"/>
    <mergeCell ref="Y329:Y329"/>
    <mergeCell ref="Z329:Z329"/>
    <mergeCell ref="AA329:AA329"/>
    <mergeCell ref="AB329:AB329"/>
    <mergeCell ref="AC329:AC329"/>
    <mergeCell ref="AD329:AD329"/>
    <mergeCell ref="AE329:AE329"/>
    <mergeCell ref="AF329:AF329"/>
    <mergeCell ref="A330:A330"/>
    <mergeCell ref="B330:B330"/>
    <mergeCell ref="C330:C330"/>
    <mergeCell ref="F330:F330"/>
    <mergeCell ref="G330:G330"/>
    <mergeCell ref="H330:H330"/>
    <mergeCell ref="M330:M330"/>
    <mergeCell ref="N330:N330"/>
    <mergeCell ref="O330:O330"/>
    <mergeCell ref="P330:P330"/>
    <mergeCell ref="Q330:Q330"/>
    <mergeCell ref="R330:R330"/>
    <mergeCell ref="S330:S330"/>
    <mergeCell ref="X330:X330"/>
    <mergeCell ref="Y330:Y330"/>
    <mergeCell ref="Z330:Z330"/>
    <mergeCell ref="AA330:AA330"/>
    <mergeCell ref="AB330:AB330"/>
    <mergeCell ref="AC330:AC330"/>
    <mergeCell ref="AD330:AD330"/>
    <mergeCell ref="AE330:AE330"/>
    <mergeCell ref="AF330:AF330"/>
    <mergeCell ref="A331:A331"/>
    <mergeCell ref="B331:B331"/>
    <mergeCell ref="C331:C331"/>
    <mergeCell ref="F331:F331"/>
    <mergeCell ref="G331:G331"/>
    <mergeCell ref="H331:H331"/>
    <mergeCell ref="M331:M331"/>
    <mergeCell ref="N331:N331"/>
    <mergeCell ref="O331:O331"/>
    <mergeCell ref="P331:P331"/>
    <mergeCell ref="Q331:Q331"/>
    <mergeCell ref="R331:R331"/>
    <mergeCell ref="S331:S331"/>
    <mergeCell ref="X331:X331"/>
    <mergeCell ref="Y331:Y331"/>
    <mergeCell ref="Z331:Z331"/>
    <mergeCell ref="AA331:AA331"/>
    <mergeCell ref="AB331:AB331"/>
    <mergeCell ref="AC331:AC331"/>
    <mergeCell ref="AD331:AD331"/>
    <mergeCell ref="AE331:AE331"/>
    <mergeCell ref="AF331:AF331"/>
    <mergeCell ref="A332:A332"/>
    <mergeCell ref="B332:B332"/>
    <mergeCell ref="C332:C332"/>
    <mergeCell ref="F332:F332"/>
    <mergeCell ref="G332:G332"/>
    <mergeCell ref="H332:H332"/>
    <mergeCell ref="M332:M332"/>
    <mergeCell ref="N332:N332"/>
    <mergeCell ref="O332:O332"/>
    <mergeCell ref="P332:P332"/>
    <mergeCell ref="Q332:Q332"/>
    <mergeCell ref="R332:R332"/>
    <mergeCell ref="S332:S332"/>
    <mergeCell ref="X332:X332"/>
    <mergeCell ref="Y332:Y332"/>
    <mergeCell ref="Z332:Z332"/>
    <mergeCell ref="AA332:AA332"/>
    <mergeCell ref="AB332:AB332"/>
    <mergeCell ref="AC332:AC332"/>
    <mergeCell ref="AD332:AD332"/>
    <mergeCell ref="AE332:AE332"/>
    <mergeCell ref="AF332:AF332"/>
    <mergeCell ref="A333:A333"/>
    <mergeCell ref="B333:B333"/>
    <mergeCell ref="C333:C333"/>
    <mergeCell ref="F333:F333"/>
    <mergeCell ref="G333:G333"/>
    <mergeCell ref="H333:H333"/>
    <mergeCell ref="M333:M333"/>
    <mergeCell ref="N333:N333"/>
    <mergeCell ref="O333:O333"/>
    <mergeCell ref="P333:P333"/>
    <mergeCell ref="Q333:Q333"/>
    <mergeCell ref="R333:R333"/>
    <mergeCell ref="S333:S333"/>
    <mergeCell ref="X333:X333"/>
    <mergeCell ref="Y333:Y333"/>
    <mergeCell ref="Z333:Z333"/>
    <mergeCell ref="AA333:AA333"/>
    <mergeCell ref="AB333:AB333"/>
    <mergeCell ref="AC333:AC333"/>
    <mergeCell ref="AD333:AD333"/>
    <mergeCell ref="AE333:AE333"/>
    <mergeCell ref="AF333:AF333"/>
    <mergeCell ref="A334:A334"/>
    <mergeCell ref="B334:B334"/>
    <mergeCell ref="C334:C334"/>
    <mergeCell ref="F334:F334"/>
    <mergeCell ref="G334:G334"/>
    <mergeCell ref="H334:H334"/>
    <mergeCell ref="M334:M334"/>
    <mergeCell ref="N334:N334"/>
    <mergeCell ref="O334:O334"/>
    <mergeCell ref="P334:P334"/>
    <mergeCell ref="Q334:Q334"/>
    <mergeCell ref="R334:R334"/>
    <mergeCell ref="S334:S334"/>
    <mergeCell ref="X334:X334"/>
    <mergeCell ref="Y334:Y334"/>
    <mergeCell ref="Z334:Z334"/>
    <mergeCell ref="AA334:AA334"/>
    <mergeCell ref="AB334:AB334"/>
    <mergeCell ref="AC334:AC334"/>
    <mergeCell ref="AD334:AD334"/>
    <mergeCell ref="AE334:AE334"/>
    <mergeCell ref="AF334:AF334"/>
    <mergeCell ref="A335:A335"/>
    <mergeCell ref="B335:B335"/>
    <mergeCell ref="C335:C335"/>
    <mergeCell ref="F335:F335"/>
    <mergeCell ref="G335:G335"/>
    <mergeCell ref="H335:H335"/>
    <mergeCell ref="M335:M335"/>
    <mergeCell ref="N335:N335"/>
    <mergeCell ref="O335:O335"/>
    <mergeCell ref="P335:P335"/>
    <mergeCell ref="Q335:Q335"/>
    <mergeCell ref="R335:R335"/>
    <mergeCell ref="S335:S335"/>
    <mergeCell ref="X335:X335"/>
    <mergeCell ref="Y335:Y335"/>
    <mergeCell ref="Z335:Z335"/>
    <mergeCell ref="AA335:AA335"/>
    <mergeCell ref="AB335:AB335"/>
    <mergeCell ref="AC335:AC335"/>
    <mergeCell ref="AD335:AD335"/>
    <mergeCell ref="AE335:AE335"/>
    <mergeCell ref="AF335:AF335"/>
    <mergeCell ref="A336:A336"/>
    <mergeCell ref="B336:B336"/>
    <mergeCell ref="C336:C336"/>
    <mergeCell ref="F336:F336"/>
    <mergeCell ref="G336:G336"/>
    <mergeCell ref="H336:H336"/>
    <mergeCell ref="M336:M336"/>
    <mergeCell ref="N336:N336"/>
    <mergeCell ref="O336:O336"/>
    <mergeCell ref="P336:P336"/>
    <mergeCell ref="Q336:Q336"/>
    <mergeCell ref="R336:R336"/>
    <mergeCell ref="S336:S336"/>
    <mergeCell ref="X336:X336"/>
    <mergeCell ref="Y336:Y336"/>
    <mergeCell ref="Z336:Z336"/>
    <mergeCell ref="AA336:AA336"/>
    <mergeCell ref="AB336:AB336"/>
    <mergeCell ref="AC336:AC336"/>
    <mergeCell ref="AD336:AD336"/>
    <mergeCell ref="AE336:AE336"/>
    <mergeCell ref="AF336:AF336"/>
    <mergeCell ref="A337:A337"/>
    <mergeCell ref="B337:B337"/>
    <mergeCell ref="C337:C337"/>
    <mergeCell ref="F337:F337"/>
    <mergeCell ref="G337:G337"/>
    <mergeCell ref="H337:H337"/>
    <mergeCell ref="M337:M337"/>
    <mergeCell ref="N337:N337"/>
    <mergeCell ref="O337:O337"/>
    <mergeCell ref="P337:P337"/>
    <mergeCell ref="Q337:Q337"/>
    <mergeCell ref="R337:R337"/>
    <mergeCell ref="S337:S337"/>
    <mergeCell ref="X337:X337"/>
    <mergeCell ref="Y337:Y337"/>
    <mergeCell ref="Z337:Z337"/>
    <mergeCell ref="AA337:AA337"/>
    <mergeCell ref="AB337:AB337"/>
    <mergeCell ref="AC337:AC337"/>
    <mergeCell ref="AD337:AD337"/>
    <mergeCell ref="AE337:AE337"/>
    <mergeCell ref="AF337:AF337"/>
    <mergeCell ref="A338:A338"/>
    <mergeCell ref="B338:B338"/>
    <mergeCell ref="C338:C338"/>
    <mergeCell ref="F338:F338"/>
    <mergeCell ref="G338:G338"/>
    <mergeCell ref="H338:H338"/>
    <mergeCell ref="M338:M338"/>
    <mergeCell ref="N338:N338"/>
    <mergeCell ref="O338:O338"/>
    <mergeCell ref="P338:P338"/>
    <mergeCell ref="Q338:Q338"/>
    <mergeCell ref="R338:R338"/>
    <mergeCell ref="S338:S338"/>
    <mergeCell ref="X338:X338"/>
    <mergeCell ref="Y338:Y338"/>
    <mergeCell ref="Z338:Z338"/>
    <mergeCell ref="AA338:AA338"/>
    <mergeCell ref="AB338:AB338"/>
    <mergeCell ref="AC338:AC338"/>
    <mergeCell ref="AD338:AD338"/>
    <mergeCell ref="AE338:AE338"/>
    <mergeCell ref="AF338:AF338"/>
    <mergeCell ref="A339:A339"/>
    <mergeCell ref="B339:B339"/>
    <mergeCell ref="C339:C339"/>
    <mergeCell ref="F339:F339"/>
    <mergeCell ref="G339:G339"/>
    <mergeCell ref="H339:H339"/>
    <mergeCell ref="M339:M339"/>
    <mergeCell ref="N339:N339"/>
    <mergeCell ref="O339:O339"/>
    <mergeCell ref="P339:P339"/>
    <mergeCell ref="Q339:Q339"/>
    <mergeCell ref="R339:R339"/>
    <mergeCell ref="S339:S339"/>
    <mergeCell ref="X339:X339"/>
    <mergeCell ref="Y339:Y339"/>
    <mergeCell ref="Z339:Z339"/>
    <mergeCell ref="AA339:AA339"/>
    <mergeCell ref="AB339:AB339"/>
    <mergeCell ref="AC339:AC339"/>
    <mergeCell ref="AD339:AD339"/>
    <mergeCell ref="AE339:AE339"/>
    <mergeCell ref="AF339:AF339"/>
    <mergeCell ref="A340:A340"/>
    <mergeCell ref="B340:B340"/>
    <mergeCell ref="C340:C340"/>
    <mergeCell ref="F340:F340"/>
    <mergeCell ref="G340:G340"/>
    <mergeCell ref="H340:H340"/>
    <mergeCell ref="M340:M340"/>
    <mergeCell ref="N340:N340"/>
    <mergeCell ref="O340:O340"/>
    <mergeCell ref="P340:P340"/>
    <mergeCell ref="Q340:Q340"/>
    <mergeCell ref="R340:R340"/>
    <mergeCell ref="S340:S340"/>
    <mergeCell ref="X340:X340"/>
    <mergeCell ref="Y340:Y340"/>
    <mergeCell ref="Z340:Z340"/>
    <mergeCell ref="AA340:AA340"/>
    <mergeCell ref="AB340:AB340"/>
    <mergeCell ref="AC340:AC340"/>
    <mergeCell ref="AD340:AD340"/>
    <mergeCell ref="AE340:AE340"/>
    <mergeCell ref="AF340:AF340"/>
    <mergeCell ref="A341:A341"/>
    <mergeCell ref="B341:B341"/>
    <mergeCell ref="C341:C341"/>
    <mergeCell ref="F341:F341"/>
    <mergeCell ref="G341:G341"/>
    <mergeCell ref="H341:H341"/>
    <mergeCell ref="M341:M341"/>
    <mergeCell ref="N341:N341"/>
    <mergeCell ref="O341:O341"/>
    <mergeCell ref="P341:P341"/>
    <mergeCell ref="Q341:Q341"/>
    <mergeCell ref="R341:R341"/>
    <mergeCell ref="S341:S341"/>
    <mergeCell ref="X341:X341"/>
    <mergeCell ref="Y341:Y341"/>
    <mergeCell ref="Z341:Z341"/>
    <mergeCell ref="AA341:AA341"/>
    <mergeCell ref="AB341:AB341"/>
    <mergeCell ref="AC341:AC341"/>
    <mergeCell ref="AD341:AD341"/>
    <mergeCell ref="AE341:AE341"/>
    <mergeCell ref="AF341:AF341"/>
    <mergeCell ref="A342:A342"/>
    <mergeCell ref="B342:B342"/>
    <mergeCell ref="C342:C342"/>
    <mergeCell ref="F342:F342"/>
    <mergeCell ref="G342:G342"/>
    <mergeCell ref="H342:H342"/>
    <mergeCell ref="M342:M342"/>
    <mergeCell ref="N342:N342"/>
    <mergeCell ref="O342:O342"/>
    <mergeCell ref="P342:P342"/>
    <mergeCell ref="Q342:Q342"/>
    <mergeCell ref="R342:R342"/>
    <mergeCell ref="S342:S342"/>
    <mergeCell ref="X342:X342"/>
    <mergeCell ref="Y342:Y342"/>
    <mergeCell ref="Z342:Z342"/>
    <mergeCell ref="AA342:AA342"/>
    <mergeCell ref="AB342:AB342"/>
    <mergeCell ref="AC342:AC342"/>
    <mergeCell ref="AD342:AD342"/>
    <mergeCell ref="AE342:AE342"/>
    <mergeCell ref="AF342:AF342"/>
    <mergeCell ref="A343:A343"/>
    <mergeCell ref="B343:B343"/>
    <mergeCell ref="C343:C343"/>
    <mergeCell ref="F343:F343"/>
    <mergeCell ref="G343:G343"/>
    <mergeCell ref="H343:H343"/>
    <mergeCell ref="M343:M343"/>
    <mergeCell ref="N343:N343"/>
    <mergeCell ref="O343:O343"/>
    <mergeCell ref="P343:P343"/>
    <mergeCell ref="Q343:Q343"/>
    <mergeCell ref="R343:R343"/>
    <mergeCell ref="S343:S343"/>
    <mergeCell ref="X343:X343"/>
    <mergeCell ref="Y343:Y343"/>
    <mergeCell ref="Z343:Z343"/>
    <mergeCell ref="AA343:AA343"/>
    <mergeCell ref="AB343:AB343"/>
    <mergeCell ref="AC343:AC343"/>
    <mergeCell ref="AD343:AD343"/>
    <mergeCell ref="AE343:AE343"/>
    <mergeCell ref="AF343:AF343"/>
    <mergeCell ref="A344:A344"/>
    <mergeCell ref="B344:B344"/>
    <mergeCell ref="C344:C344"/>
    <mergeCell ref="F344:F344"/>
    <mergeCell ref="G344:G344"/>
    <mergeCell ref="H344:H344"/>
    <mergeCell ref="M344:M344"/>
    <mergeCell ref="N344:N344"/>
    <mergeCell ref="O344:O344"/>
    <mergeCell ref="P344:P344"/>
    <mergeCell ref="Q344:Q344"/>
    <mergeCell ref="R344:R344"/>
    <mergeCell ref="S344:S344"/>
    <mergeCell ref="X344:X344"/>
    <mergeCell ref="Y344:Y344"/>
    <mergeCell ref="Z344:Z344"/>
    <mergeCell ref="AA344:AA344"/>
    <mergeCell ref="AB344:AB344"/>
    <mergeCell ref="AC344:AC344"/>
    <mergeCell ref="AD344:AD344"/>
    <mergeCell ref="AE344:AE344"/>
    <mergeCell ref="AF344:AF344"/>
    <mergeCell ref="A345:A345"/>
    <mergeCell ref="B345:B345"/>
    <mergeCell ref="C345:C345"/>
    <mergeCell ref="F345:F345"/>
    <mergeCell ref="G345:G345"/>
    <mergeCell ref="H345:H345"/>
    <mergeCell ref="M345:M345"/>
    <mergeCell ref="N345:N345"/>
    <mergeCell ref="O345:O345"/>
    <mergeCell ref="P345:P345"/>
    <mergeCell ref="Q345:Q345"/>
    <mergeCell ref="R345:R345"/>
    <mergeCell ref="S345:S345"/>
    <mergeCell ref="X345:X345"/>
    <mergeCell ref="Y345:Y345"/>
    <mergeCell ref="Z345:Z345"/>
    <mergeCell ref="AA345:AA345"/>
    <mergeCell ref="AB345:AB345"/>
    <mergeCell ref="AC345:AC345"/>
    <mergeCell ref="AD345:AD345"/>
    <mergeCell ref="AE345:AE345"/>
    <mergeCell ref="AF345:AF345"/>
    <mergeCell ref="A346:A346"/>
    <mergeCell ref="B346:B346"/>
    <mergeCell ref="C346:C346"/>
    <mergeCell ref="F346:F346"/>
    <mergeCell ref="G346:G346"/>
    <mergeCell ref="H346:H346"/>
    <mergeCell ref="M346:M346"/>
    <mergeCell ref="N346:N346"/>
    <mergeCell ref="O346:O346"/>
    <mergeCell ref="P346:P346"/>
    <mergeCell ref="Q346:Q346"/>
    <mergeCell ref="R346:R346"/>
    <mergeCell ref="S346:S346"/>
    <mergeCell ref="X346:X346"/>
    <mergeCell ref="Y346:Y346"/>
    <mergeCell ref="Z346:Z346"/>
    <mergeCell ref="AA346:AA346"/>
    <mergeCell ref="AB346:AB346"/>
    <mergeCell ref="AC346:AC346"/>
    <mergeCell ref="AD346:AD346"/>
    <mergeCell ref="AE346:AE346"/>
    <mergeCell ref="AF346:AF346"/>
    <mergeCell ref="A347:A347"/>
    <mergeCell ref="B347:B347"/>
    <mergeCell ref="C347:C347"/>
    <mergeCell ref="F347:F347"/>
    <mergeCell ref="G347:G347"/>
    <mergeCell ref="H347:H347"/>
    <mergeCell ref="M347:M347"/>
    <mergeCell ref="N347:N347"/>
    <mergeCell ref="O347:O347"/>
    <mergeCell ref="P347:P347"/>
    <mergeCell ref="Q347:Q347"/>
    <mergeCell ref="R347:R347"/>
    <mergeCell ref="S347:S347"/>
    <mergeCell ref="X347:X347"/>
    <mergeCell ref="Y347:Y347"/>
    <mergeCell ref="Z347:Z347"/>
    <mergeCell ref="AA347:AA347"/>
    <mergeCell ref="AB347:AB347"/>
    <mergeCell ref="AC347:AC347"/>
    <mergeCell ref="AD347:AD347"/>
    <mergeCell ref="AE347:AE347"/>
    <mergeCell ref="AF347:AF347"/>
    <mergeCell ref="A348:A348"/>
    <mergeCell ref="B348:B348"/>
    <mergeCell ref="C348:C348"/>
    <mergeCell ref="F348:F348"/>
    <mergeCell ref="G348:G348"/>
    <mergeCell ref="H348:H348"/>
    <mergeCell ref="M348:M348"/>
    <mergeCell ref="N348:N348"/>
    <mergeCell ref="O348:O348"/>
    <mergeCell ref="P348:P348"/>
    <mergeCell ref="Q348:Q348"/>
    <mergeCell ref="R348:R348"/>
    <mergeCell ref="S348:S348"/>
    <mergeCell ref="X348:X348"/>
    <mergeCell ref="Y348:Y348"/>
    <mergeCell ref="Z348:Z348"/>
    <mergeCell ref="AA348:AA348"/>
    <mergeCell ref="AB348:AB348"/>
    <mergeCell ref="AC348:AC348"/>
    <mergeCell ref="AD348:AD348"/>
    <mergeCell ref="AE348:AE348"/>
    <mergeCell ref="AF348:AF348"/>
    <mergeCell ref="A349:A349"/>
    <mergeCell ref="B349:B349"/>
    <mergeCell ref="C349:C349"/>
    <mergeCell ref="F349:F349"/>
    <mergeCell ref="G349:G349"/>
    <mergeCell ref="H349:H349"/>
    <mergeCell ref="M349:M349"/>
    <mergeCell ref="N349:N349"/>
    <mergeCell ref="O349:O349"/>
    <mergeCell ref="P349:P349"/>
    <mergeCell ref="Q349:Q349"/>
    <mergeCell ref="R349:R349"/>
    <mergeCell ref="S349:S349"/>
    <mergeCell ref="X349:X349"/>
    <mergeCell ref="Y349:Y349"/>
    <mergeCell ref="Z349:Z349"/>
    <mergeCell ref="AA349:AA349"/>
    <mergeCell ref="AB349:AB349"/>
    <mergeCell ref="AC349:AC349"/>
    <mergeCell ref="AD349:AD349"/>
    <mergeCell ref="AE349:AE349"/>
    <mergeCell ref="AF349:AF349"/>
    <mergeCell ref="A350:A350"/>
    <mergeCell ref="B350:B350"/>
    <mergeCell ref="C350:C350"/>
    <mergeCell ref="F350:F350"/>
    <mergeCell ref="G350:G350"/>
    <mergeCell ref="H350:H350"/>
    <mergeCell ref="M350:M350"/>
    <mergeCell ref="N350:N350"/>
    <mergeCell ref="O350:O350"/>
    <mergeCell ref="P350:P350"/>
    <mergeCell ref="Q350:Q350"/>
    <mergeCell ref="R350:R350"/>
    <mergeCell ref="S350:S350"/>
    <mergeCell ref="X350:X350"/>
    <mergeCell ref="Y350:Y350"/>
    <mergeCell ref="Z350:Z350"/>
    <mergeCell ref="AA350:AA350"/>
    <mergeCell ref="AB350:AB350"/>
    <mergeCell ref="AC350:AC350"/>
    <mergeCell ref="AD350:AD350"/>
    <mergeCell ref="AE350:AE350"/>
    <mergeCell ref="AF350:AF350"/>
    <mergeCell ref="A351:A351"/>
    <mergeCell ref="B351:B351"/>
    <mergeCell ref="C351:C351"/>
    <mergeCell ref="F351:F351"/>
    <mergeCell ref="G351:G351"/>
    <mergeCell ref="H351:H351"/>
    <mergeCell ref="M351:M351"/>
    <mergeCell ref="N351:N351"/>
    <mergeCell ref="O351:O351"/>
    <mergeCell ref="P351:P351"/>
    <mergeCell ref="Q351:Q351"/>
    <mergeCell ref="R351:R351"/>
    <mergeCell ref="S351:S351"/>
    <mergeCell ref="X351:X351"/>
    <mergeCell ref="Y351:Y351"/>
    <mergeCell ref="Z351:Z351"/>
    <mergeCell ref="AA351:AA351"/>
    <mergeCell ref="AB351:AB351"/>
    <mergeCell ref="AC351:AC351"/>
    <mergeCell ref="AD351:AD351"/>
    <mergeCell ref="AE351:AE351"/>
    <mergeCell ref="AF351:AF351"/>
    <mergeCell ref="A352:A352"/>
    <mergeCell ref="B352:B352"/>
    <mergeCell ref="C352:C352"/>
    <mergeCell ref="F352:F352"/>
    <mergeCell ref="G352:G352"/>
    <mergeCell ref="H352:H352"/>
    <mergeCell ref="M352:M352"/>
    <mergeCell ref="N352:N352"/>
    <mergeCell ref="O352:O352"/>
    <mergeCell ref="P352:P352"/>
    <mergeCell ref="Q352:Q352"/>
    <mergeCell ref="R352:R352"/>
    <mergeCell ref="S352:S352"/>
    <mergeCell ref="X352:X352"/>
    <mergeCell ref="Y352:Y352"/>
    <mergeCell ref="Z352:Z352"/>
    <mergeCell ref="AA352:AA352"/>
    <mergeCell ref="AB352:AB352"/>
    <mergeCell ref="AC352:AC352"/>
    <mergeCell ref="AD352:AD352"/>
    <mergeCell ref="AE352:AE352"/>
    <mergeCell ref="AF352:AF352"/>
    <mergeCell ref="A353:A353"/>
    <mergeCell ref="B353:B353"/>
    <mergeCell ref="C353:C353"/>
    <mergeCell ref="F353:F353"/>
    <mergeCell ref="G353:G353"/>
    <mergeCell ref="H353:H353"/>
    <mergeCell ref="M353:M353"/>
    <mergeCell ref="N353:N353"/>
    <mergeCell ref="O353:O353"/>
    <mergeCell ref="P353:P353"/>
    <mergeCell ref="Q353:Q353"/>
    <mergeCell ref="R353:R353"/>
    <mergeCell ref="S353:S353"/>
    <mergeCell ref="X353:X353"/>
    <mergeCell ref="Y353:Y353"/>
    <mergeCell ref="Z353:Z353"/>
    <mergeCell ref="AA353:AA353"/>
    <mergeCell ref="AB353:AB353"/>
    <mergeCell ref="AC353:AC353"/>
    <mergeCell ref="AD353:AD353"/>
    <mergeCell ref="AE353:AE353"/>
    <mergeCell ref="AF353:AF353"/>
    <mergeCell ref="A354:A354"/>
    <mergeCell ref="B354:B354"/>
    <mergeCell ref="C354:C354"/>
    <mergeCell ref="F354:F354"/>
    <mergeCell ref="G354:G354"/>
    <mergeCell ref="H354:H354"/>
    <mergeCell ref="M354:M354"/>
    <mergeCell ref="N354:N354"/>
    <mergeCell ref="O354:O354"/>
    <mergeCell ref="P354:P354"/>
    <mergeCell ref="Q354:Q354"/>
    <mergeCell ref="R354:R354"/>
    <mergeCell ref="S354:S354"/>
    <mergeCell ref="X354:X354"/>
    <mergeCell ref="Y354:Y354"/>
    <mergeCell ref="Z354:Z354"/>
    <mergeCell ref="AA354:AA354"/>
    <mergeCell ref="AB354:AB354"/>
    <mergeCell ref="AC354:AC354"/>
    <mergeCell ref="AD354:AD354"/>
    <mergeCell ref="AE354:AE354"/>
    <mergeCell ref="AF354:AF354"/>
    <mergeCell ref="A355:A355"/>
    <mergeCell ref="B355:B355"/>
    <mergeCell ref="C355:C355"/>
    <mergeCell ref="F355:F355"/>
    <mergeCell ref="G355:G355"/>
    <mergeCell ref="H355:H355"/>
    <mergeCell ref="M355:M355"/>
    <mergeCell ref="N355:N355"/>
    <mergeCell ref="O355:O355"/>
    <mergeCell ref="P355:P355"/>
    <mergeCell ref="Q355:Q355"/>
    <mergeCell ref="R355:R355"/>
    <mergeCell ref="S355:S355"/>
    <mergeCell ref="X355:X355"/>
    <mergeCell ref="Y355:Y355"/>
    <mergeCell ref="Z355:Z355"/>
    <mergeCell ref="AA355:AA355"/>
    <mergeCell ref="AB355:AB355"/>
    <mergeCell ref="AC355:AC355"/>
    <mergeCell ref="AD355:AD355"/>
    <mergeCell ref="AE355:AE355"/>
    <mergeCell ref="AF355:AF355"/>
    <mergeCell ref="A356:A356"/>
    <mergeCell ref="B356:B356"/>
    <mergeCell ref="C356:C356"/>
    <mergeCell ref="F356:F356"/>
    <mergeCell ref="G356:G356"/>
    <mergeCell ref="H356:H356"/>
    <mergeCell ref="M356:M356"/>
    <mergeCell ref="N356:N356"/>
    <mergeCell ref="O356:O356"/>
    <mergeCell ref="P356:P356"/>
    <mergeCell ref="Q356:Q356"/>
    <mergeCell ref="R356:R356"/>
    <mergeCell ref="S356:S356"/>
    <mergeCell ref="X356:X356"/>
    <mergeCell ref="Y356:Y356"/>
    <mergeCell ref="Z356:Z356"/>
    <mergeCell ref="AA356:AA356"/>
    <mergeCell ref="AB356:AB356"/>
    <mergeCell ref="AC356:AC356"/>
    <mergeCell ref="AD356:AD356"/>
    <mergeCell ref="AE356:AE356"/>
    <mergeCell ref="AF356:AF356"/>
    <mergeCell ref="A357:A357"/>
    <mergeCell ref="B357:B357"/>
    <mergeCell ref="C357:C357"/>
    <mergeCell ref="F357:F357"/>
    <mergeCell ref="G357:G357"/>
    <mergeCell ref="H357:H357"/>
    <mergeCell ref="M357:M357"/>
    <mergeCell ref="N357:N357"/>
    <mergeCell ref="O357:O357"/>
    <mergeCell ref="P357:P357"/>
    <mergeCell ref="Q357:Q357"/>
    <mergeCell ref="R357:R357"/>
    <mergeCell ref="S357:S357"/>
    <mergeCell ref="X357:X357"/>
    <mergeCell ref="Y357:Y357"/>
    <mergeCell ref="Z357:Z357"/>
    <mergeCell ref="AA357:AA357"/>
    <mergeCell ref="AB357:AB357"/>
    <mergeCell ref="AC357:AC357"/>
    <mergeCell ref="AD357:AD357"/>
    <mergeCell ref="AE357:AE357"/>
    <mergeCell ref="AF357:AF357"/>
    <mergeCell ref="A358:A358"/>
    <mergeCell ref="B358:B358"/>
    <mergeCell ref="C358:C358"/>
    <mergeCell ref="F358:F358"/>
    <mergeCell ref="G358:G358"/>
    <mergeCell ref="H358:H358"/>
    <mergeCell ref="M358:M358"/>
    <mergeCell ref="N358:N358"/>
    <mergeCell ref="O358:O358"/>
    <mergeCell ref="P358:P358"/>
    <mergeCell ref="Q358:Q358"/>
    <mergeCell ref="R358:R358"/>
    <mergeCell ref="S358:S358"/>
    <mergeCell ref="X358:X358"/>
    <mergeCell ref="Y358:Y358"/>
    <mergeCell ref="Z358:Z358"/>
    <mergeCell ref="AA358:AA358"/>
    <mergeCell ref="AB358:AB358"/>
    <mergeCell ref="AC358:AC358"/>
    <mergeCell ref="AD358:AD358"/>
    <mergeCell ref="AE358:AE358"/>
    <mergeCell ref="AF358:AF358"/>
    <mergeCell ref="A359:A359"/>
    <mergeCell ref="B359:B359"/>
    <mergeCell ref="C359:C359"/>
    <mergeCell ref="F359:F359"/>
    <mergeCell ref="G359:G359"/>
    <mergeCell ref="H359:H359"/>
    <mergeCell ref="M359:M359"/>
    <mergeCell ref="N359:N359"/>
    <mergeCell ref="O359:O359"/>
    <mergeCell ref="P359:P359"/>
    <mergeCell ref="Q359:Q359"/>
    <mergeCell ref="R359:R359"/>
    <mergeCell ref="S359:S359"/>
    <mergeCell ref="X359:X359"/>
    <mergeCell ref="Y359:Y359"/>
    <mergeCell ref="Z359:Z359"/>
    <mergeCell ref="AA359:AA359"/>
    <mergeCell ref="AB359:AB359"/>
    <mergeCell ref="AC359:AC359"/>
    <mergeCell ref="AD359:AD359"/>
    <mergeCell ref="AE359:AE359"/>
    <mergeCell ref="AF359:AF359"/>
    <mergeCell ref="A360:A360"/>
    <mergeCell ref="B360:B360"/>
    <mergeCell ref="C360:C360"/>
    <mergeCell ref="F360:F360"/>
    <mergeCell ref="G360:G360"/>
    <mergeCell ref="H360:H360"/>
    <mergeCell ref="M360:M360"/>
    <mergeCell ref="N360:N360"/>
    <mergeCell ref="O360:O360"/>
    <mergeCell ref="P360:P360"/>
    <mergeCell ref="Q360:Q360"/>
    <mergeCell ref="R360:R360"/>
    <mergeCell ref="S360:S360"/>
    <mergeCell ref="X360:X360"/>
    <mergeCell ref="Y360:Y360"/>
    <mergeCell ref="Z360:Z360"/>
    <mergeCell ref="AA360:AA360"/>
    <mergeCell ref="AB360:AB360"/>
    <mergeCell ref="AC360:AC360"/>
    <mergeCell ref="AD360:AD360"/>
    <mergeCell ref="AE360:AE360"/>
    <mergeCell ref="AF360:AF360"/>
    <mergeCell ref="A361:A361"/>
    <mergeCell ref="B361:B361"/>
    <mergeCell ref="C361:C361"/>
    <mergeCell ref="F361:F361"/>
    <mergeCell ref="G361:G361"/>
    <mergeCell ref="H361:H361"/>
    <mergeCell ref="M361:M361"/>
    <mergeCell ref="N361:N361"/>
    <mergeCell ref="O361:O361"/>
    <mergeCell ref="P361:P361"/>
    <mergeCell ref="Q361:Q361"/>
    <mergeCell ref="R361:R361"/>
    <mergeCell ref="S361:S361"/>
    <mergeCell ref="X361:X361"/>
    <mergeCell ref="Y361:Y361"/>
    <mergeCell ref="Z361:Z361"/>
    <mergeCell ref="AA361:AA361"/>
    <mergeCell ref="AB361:AB361"/>
    <mergeCell ref="AC361:AC361"/>
    <mergeCell ref="AD361:AD361"/>
    <mergeCell ref="AE361:AE361"/>
    <mergeCell ref="AF361:AF361"/>
    <mergeCell ref="A362:A362"/>
    <mergeCell ref="B362:B362"/>
    <mergeCell ref="C362:C362"/>
    <mergeCell ref="F362:F362"/>
    <mergeCell ref="G362:G362"/>
    <mergeCell ref="H362:H362"/>
    <mergeCell ref="M362:M362"/>
    <mergeCell ref="N362:N362"/>
    <mergeCell ref="O362:O362"/>
    <mergeCell ref="P362:P362"/>
    <mergeCell ref="Q362:Q362"/>
    <mergeCell ref="R362:R362"/>
    <mergeCell ref="S362:S362"/>
    <mergeCell ref="X362:X362"/>
    <mergeCell ref="Y362:Y362"/>
    <mergeCell ref="Z362:Z362"/>
    <mergeCell ref="AA362:AA362"/>
    <mergeCell ref="AB362:AB362"/>
    <mergeCell ref="AC362:AC362"/>
    <mergeCell ref="AD362:AD362"/>
    <mergeCell ref="AE362:AE362"/>
    <mergeCell ref="AF362:AF362"/>
    <mergeCell ref="A363:A363"/>
    <mergeCell ref="B363:B363"/>
    <mergeCell ref="C363:C363"/>
    <mergeCell ref="F363:F363"/>
    <mergeCell ref="G363:G363"/>
    <mergeCell ref="H363:H363"/>
    <mergeCell ref="M363:M363"/>
    <mergeCell ref="N363:N363"/>
    <mergeCell ref="O363:O363"/>
    <mergeCell ref="P363:P363"/>
    <mergeCell ref="Q363:Q363"/>
    <mergeCell ref="R363:R363"/>
    <mergeCell ref="S363:S363"/>
    <mergeCell ref="X363:X363"/>
    <mergeCell ref="Y363:Y363"/>
    <mergeCell ref="Z363:Z363"/>
    <mergeCell ref="AA363:AA363"/>
    <mergeCell ref="AB363:AB363"/>
    <mergeCell ref="AC363:AC363"/>
    <mergeCell ref="AD363:AD363"/>
    <mergeCell ref="AE363:AE363"/>
    <mergeCell ref="AF363:AF363"/>
    <mergeCell ref="A364:A364"/>
    <mergeCell ref="B364:B364"/>
    <mergeCell ref="C364:C364"/>
    <mergeCell ref="F364:F364"/>
    <mergeCell ref="G364:G364"/>
    <mergeCell ref="H364:H364"/>
    <mergeCell ref="M364:M364"/>
    <mergeCell ref="N364:N364"/>
    <mergeCell ref="O364:O364"/>
    <mergeCell ref="P364:P364"/>
    <mergeCell ref="Q364:Q364"/>
    <mergeCell ref="R364:R364"/>
    <mergeCell ref="S364:S364"/>
    <mergeCell ref="X364:X364"/>
    <mergeCell ref="Y364:Y364"/>
    <mergeCell ref="Z364:Z364"/>
    <mergeCell ref="AA364:AA364"/>
    <mergeCell ref="AB364:AB364"/>
    <mergeCell ref="AC364:AC364"/>
    <mergeCell ref="AD364:AD364"/>
    <mergeCell ref="AE364:AE364"/>
    <mergeCell ref="AF364:AF364"/>
    <mergeCell ref="A365:A365"/>
    <mergeCell ref="B365:B365"/>
    <mergeCell ref="C365:C365"/>
    <mergeCell ref="F365:F365"/>
    <mergeCell ref="G365:G365"/>
    <mergeCell ref="H365:H365"/>
    <mergeCell ref="M365:M365"/>
    <mergeCell ref="N365:N365"/>
    <mergeCell ref="O365:O365"/>
    <mergeCell ref="P365:P365"/>
    <mergeCell ref="Q365:Q365"/>
    <mergeCell ref="R365:R365"/>
    <mergeCell ref="S365:S365"/>
    <mergeCell ref="X365:X365"/>
    <mergeCell ref="Y365:Y365"/>
    <mergeCell ref="Z365:Z365"/>
    <mergeCell ref="AA365:AA365"/>
    <mergeCell ref="AB365:AB365"/>
    <mergeCell ref="AC365:AC365"/>
    <mergeCell ref="AD365:AD365"/>
    <mergeCell ref="AE365:AE365"/>
    <mergeCell ref="AF365:AF365"/>
    <mergeCell ref="A366:A366"/>
    <mergeCell ref="B366:B366"/>
    <mergeCell ref="C366:C366"/>
    <mergeCell ref="F366:F366"/>
    <mergeCell ref="G366:G366"/>
    <mergeCell ref="H366:H366"/>
    <mergeCell ref="M366:M366"/>
    <mergeCell ref="N366:N366"/>
    <mergeCell ref="O366:O366"/>
    <mergeCell ref="P366:P366"/>
    <mergeCell ref="Q366:Q366"/>
    <mergeCell ref="R366:R366"/>
    <mergeCell ref="S366:S366"/>
    <mergeCell ref="X366:X366"/>
    <mergeCell ref="Y366:Y366"/>
    <mergeCell ref="Z366:Z366"/>
    <mergeCell ref="AA366:AA366"/>
    <mergeCell ref="AB366:AB366"/>
    <mergeCell ref="AC366:AC366"/>
    <mergeCell ref="AD366:AD366"/>
    <mergeCell ref="AE366:AE366"/>
    <mergeCell ref="AF366:AF366"/>
    <mergeCell ref="A367:A367"/>
    <mergeCell ref="B367:B367"/>
    <mergeCell ref="C367:C367"/>
    <mergeCell ref="F367:F367"/>
    <mergeCell ref="G367:G367"/>
    <mergeCell ref="H367:H367"/>
    <mergeCell ref="M367:M367"/>
    <mergeCell ref="N367:N367"/>
    <mergeCell ref="O367:O367"/>
    <mergeCell ref="P367:P367"/>
    <mergeCell ref="Q367:Q367"/>
    <mergeCell ref="R367:R367"/>
    <mergeCell ref="S367:S367"/>
    <mergeCell ref="X367:X367"/>
    <mergeCell ref="Y367:Y367"/>
    <mergeCell ref="Z367:Z367"/>
    <mergeCell ref="AA367:AA367"/>
    <mergeCell ref="AB367:AB367"/>
    <mergeCell ref="AC367:AC367"/>
    <mergeCell ref="AD367:AD367"/>
    <mergeCell ref="AE367:AE367"/>
    <mergeCell ref="AF367:AF367"/>
    <mergeCell ref="A368:A368"/>
    <mergeCell ref="B368:B368"/>
    <mergeCell ref="C368:C368"/>
    <mergeCell ref="F368:F368"/>
    <mergeCell ref="G368:G368"/>
    <mergeCell ref="H368:H368"/>
    <mergeCell ref="M368:M368"/>
    <mergeCell ref="N368:N368"/>
    <mergeCell ref="O368:O368"/>
    <mergeCell ref="P368:P368"/>
    <mergeCell ref="Q368:Q368"/>
    <mergeCell ref="R368:R368"/>
    <mergeCell ref="S368:S368"/>
    <mergeCell ref="X368:X368"/>
    <mergeCell ref="Y368:Y368"/>
    <mergeCell ref="Z368:Z368"/>
    <mergeCell ref="AA368:AA368"/>
    <mergeCell ref="AB368:AB368"/>
    <mergeCell ref="AC368:AC368"/>
    <mergeCell ref="AD368:AD368"/>
    <mergeCell ref="AE368:AE368"/>
    <mergeCell ref="AF368:AF368"/>
    <mergeCell ref="A369:A369"/>
    <mergeCell ref="B369:B369"/>
    <mergeCell ref="C369:C369"/>
    <mergeCell ref="F369:F369"/>
    <mergeCell ref="G369:G369"/>
    <mergeCell ref="H369:H369"/>
    <mergeCell ref="M369:M369"/>
    <mergeCell ref="N369:N369"/>
    <mergeCell ref="O369:O369"/>
    <mergeCell ref="P369:P369"/>
    <mergeCell ref="Q369:Q369"/>
    <mergeCell ref="R369:R369"/>
    <mergeCell ref="S369:S369"/>
    <mergeCell ref="X369:X369"/>
    <mergeCell ref="Y369:Y369"/>
    <mergeCell ref="Z369:Z369"/>
    <mergeCell ref="AA369:AA369"/>
    <mergeCell ref="AB369:AB369"/>
    <mergeCell ref="AC369:AC369"/>
    <mergeCell ref="AD369:AD369"/>
    <mergeCell ref="AE369:AE369"/>
    <mergeCell ref="AF369:AF369"/>
    <mergeCell ref="A370:A370"/>
    <mergeCell ref="B370:B370"/>
    <mergeCell ref="C370:C370"/>
    <mergeCell ref="F370:F370"/>
    <mergeCell ref="G370:G370"/>
    <mergeCell ref="H370:H370"/>
    <mergeCell ref="M370:M370"/>
    <mergeCell ref="N370:N370"/>
    <mergeCell ref="O370:O370"/>
    <mergeCell ref="P370:P370"/>
    <mergeCell ref="Q370:Q370"/>
    <mergeCell ref="R370:R370"/>
    <mergeCell ref="S370:S370"/>
    <mergeCell ref="X370:X370"/>
    <mergeCell ref="Y370:Y370"/>
    <mergeCell ref="Z370:Z370"/>
    <mergeCell ref="AA370:AA370"/>
    <mergeCell ref="AB370:AB370"/>
    <mergeCell ref="AC370:AC370"/>
    <mergeCell ref="AD370:AD370"/>
    <mergeCell ref="AE370:AE370"/>
    <mergeCell ref="AF370:AF370"/>
    <mergeCell ref="A371:A371"/>
    <mergeCell ref="B371:B371"/>
    <mergeCell ref="C371:C371"/>
    <mergeCell ref="F371:F371"/>
    <mergeCell ref="G371:G371"/>
    <mergeCell ref="H371:H371"/>
    <mergeCell ref="M371:M371"/>
    <mergeCell ref="N371:N371"/>
    <mergeCell ref="O371:O371"/>
    <mergeCell ref="P371:P371"/>
    <mergeCell ref="Q371:Q371"/>
    <mergeCell ref="R371:R371"/>
    <mergeCell ref="S371:S371"/>
    <mergeCell ref="X371:X371"/>
    <mergeCell ref="Y371:Y371"/>
    <mergeCell ref="Z371:Z371"/>
    <mergeCell ref="AA371:AA371"/>
    <mergeCell ref="AB371:AB371"/>
    <mergeCell ref="AC371:AC371"/>
    <mergeCell ref="AD371:AD371"/>
    <mergeCell ref="AE371:AE371"/>
    <mergeCell ref="AF371:AF371"/>
    <mergeCell ref="A372:A372"/>
    <mergeCell ref="B372:B372"/>
    <mergeCell ref="C372:C372"/>
    <mergeCell ref="F372:F372"/>
    <mergeCell ref="G372:G372"/>
    <mergeCell ref="H372:H372"/>
    <mergeCell ref="M372:M372"/>
    <mergeCell ref="N372:N372"/>
    <mergeCell ref="O372:O372"/>
    <mergeCell ref="P372:P372"/>
    <mergeCell ref="Q372:Q372"/>
    <mergeCell ref="R372:R372"/>
    <mergeCell ref="S372:S372"/>
    <mergeCell ref="X372:X372"/>
    <mergeCell ref="Y372:Y372"/>
    <mergeCell ref="Z372:Z372"/>
    <mergeCell ref="AA372:AA372"/>
    <mergeCell ref="AB372:AB372"/>
    <mergeCell ref="AC372:AC372"/>
    <mergeCell ref="AD372:AD372"/>
    <mergeCell ref="AE372:AE372"/>
    <mergeCell ref="AF372:AF372"/>
    <mergeCell ref="A373:A373"/>
    <mergeCell ref="B373:B373"/>
    <mergeCell ref="C373:C373"/>
    <mergeCell ref="F373:F373"/>
    <mergeCell ref="G373:G373"/>
    <mergeCell ref="H373:H373"/>
    <mergeCell ref="M373:M373"/>
    <mergeCell ref="N373:N373"/>
    <mergeCell ref="O373:O373"/>
    <mergeCell ref="P373:P373"/>
    <mergeCell ref="Q373:Q373"/>
    <mergeCell ref="R373:R373"/>
    <mergeCell ref="S373:S373"/>
    <mergeCell ref="X373:X373"/>
    <mergeCell ref="Y373:Y373"/>
    <mergeCell ref="Z373:Z373"/>
    <mergeCell ref="AA373:AA373"/>
    <mergeCell ref="AB373:AB373"/>
    <mergeCell ref="AC373:AC373"/>
    <mergeCell ref="AD373:AD373"/>
    <mergeCell ref="AE373:AE373"/>
    <mergeCell ref="AF373:AF373"/>
    <mergeCell ref="A374:A374"/>
    <mergeCell ref="B374:B374"/>
    <mergeCell ref="C374:C374"/>
    <mergeCell ref="F374:F374"/>
    <mergeCell ref="G374:G374"/>
    <mergeCell ref="H374:H374"/>
    <mergeCell ref="M374:M374"/>
    <mergeCell ref="N374:N374"/>
    <mergeCell ref="O374:O374"/>
    <mergeCell ref="P374:P374"/>
    <mergeCell ref="Q374:Q374"/>
    <mergeCell ref="R374:R374"/>
    <mergeCell ref="S374:S374"/>
    <mergeCell ref="X374:X374"/>
    <mergeCell ref="Y374:Y374"/>
    <mergeCell ref="Z374:Z374"/>
    <mergeCell ref="AA374:AA374"/>
    <mergeCell ref="AB374:AB374"/>
    <mergeCell ref="AC374:AC374"/>
    <mergeCell ref="AD374:AD374"/>
    <mergeCell ref="AE374:AE374"/>
    <mergeCell ref="AF374:AF374"/>
    <mergeCell ref="A375:A375"/>
    <mergeCell ref="B375:B375"/>
    <mergeCell ref="C375:C375"/>
    <mergeCell ref="F375:F375"/>
    <mergeCell ref="G375:G375"/>
    <mergeCell ref="H375:H375"/>
    <mergeCell ref="M375:M375"/>
    <mergeCell ref="N375:N375"/>
    <mergeCell ref="O375:O375"/>
    <mergeCell ref="P375:P375"/>
    <mergeCell ref="Q375:Q375"/>
    <mergeCell ref="R375:R375"/>
    <mergeCell ref="S375:S375"/>
    <mergeCell ref="X375:X375"/>
    <mergeCell ref="Y375:Y375"/>
    <mergeCell ref="Z375:Z375"/>
    <mergeCell ref="AA375:AA375"/>
    <mergeCell ref="AB375:AB375"/>
    <mergeCell ref="AC375:AC375"/>
    <mergeCell ref="AD375:AD375"/>
    <mergeCell ref="AE375:AE375"/>
    <mergeCell ref="AF375:AF375"/>
    <mergeCell ref="A376:A376"/>
    <mergeCell ref="B376:B376"/>
    <mergeCell ref="C376:C376"/>
    <mergeCell ref="F376:F376"/>
    <mergeCell ref="G376:G376"/>
    <mergeCell ref="H376:H376"/>
    <mergeCell ref="M376:M376"/>
    <mergeCell ref="N376:N376"/>
    <mergeCell ref="O376:O376"/>
    <mergeCell ref="P376:P376"/>
    <mergeCell ref="Q376:Q376"/>
    <mergeCell ref="R376:R376"/>
    <mergeCell ref="S376:S376"/>
    <mergeCell ref="X376:X376"/>
    <mergeCell ref="Y376:Y376"/>
    <mergeCell ref="Z376:Z376"/>
    <mergeCell ref="AA376:AA376"/>
    <mergeCell ref="AB376:AB376"/>
    <mergeCell ref="AC376:AC376"/>
    <mergeCell ref="AD376:AD376"/>
    <mergeCell ref="AE376:AE376"/>
    <mergeCell ref="AF376:AF376"/>
    <mergeCell ref="A377:A377"/>
    <mergeCell ref="B377:B377"/>
    <mergeCell ref="C377:C377"/>
    <mergeCell ref="F377:F377"/>
    <mergeCell ref="G377:G377"/>
    <mergeCell ref="H377:H377"/>
    <mergeCell ref="M377:M377"/>
    <mergeCell ref="N377:N377"/>
    <mergeCell ref="O377:O377"/>
    <mergeCell ref="P377:P377"/>
    <mergeCell ref="Q377:Q377"/>
    <mergeCell ref="R377:R377"/>
    <mergeCell ref="S377:S377"/>
    <mergeCell ref="X377:X377"/>
    <mergeCell ref="Y377:Y377"/>
    <mergeCell ref="Z377:Z377"/>
    <mergeCell ref="AA377:AA377"/>
    <mergeCell ref="AB377:AB377"/>
    <mergeCell ref="AC377:AC377"/>
    <mergeCell ref="AD377:AD377"/>
    <mergeCell ref="AE377:AE377"/>
    <mergeCell ref="AF377:AF377"/>
    <mergeCell ref="A378:A378"/>
    <mergeCell ref="B378:B378"/>
    <mergeCell ref="C378:C378"/>
    <mergeCell ref="F378:F378"/>
    <mergeCell ref="G378:G378"/>
    <mergeCell ref="H378:H378"/>
    <mergeCell ref="M378:M378"/>
    <mergeCell ref="N378:N378"/>
    <mergeCell ref="O378:O378"/>
    <mergeCell ref="P378:P378"/>
    <mergeCell ref="Q378:Q378"/>
    <mergeCell ref="R378:R378"/>
    <mergeCell ref="S378:S378"/>
    <mergeCell ref="X378:X378"/>
    <mergeCell ref="Y378:Y378"/>
    <mergeCell ref="Z378:Z378"/>
    <mergeCell ref="AA378:AA378"/>
    <mergeCell ref="AB378:AB378"/>
    <mergeCell ref="AC378:AC378"/>
    <mergeCell ref="AD378:AD378"/>
    <mergeCell ref="AE378:AE378"/>
    <mergeCell ref="AF378:AF378"/>
    <mergeCell ref="A379:A379"/>
    <mergeCell ref="B379:B379"/>
    <mergeCell ref="C379:C379"/>
    <mergeCell ref="F379:F379"/>
    <mergeCell ref="G379:G379"/>
    <mergeCell ref="H379:H379"/>
    <mergeCell ref="M379:M379"/>
    <mergeCell ref="N379:N379"/>
    <mergeCell ref="O379:O379"/>
    <mergeCell ref="P379:P379"/>
    <mergeCell ref="Q379:Q379"/>
    <mergeCell ref="R379:R379"/>
    <mergeCell ref="S379:S379"/>
    <mergeCell ref="X379:X379"/>
    <mergeCell ref="Y379:Y379"/>
    <mergeCell ref="Z379:Z379"/>
    <mergeCell ref="AA379:AA379"/>
    <mergeCell ref="AB379:AB379"/>
    <mergeCell ref="AC379:AC379"/>
    <mergeCell ref="AD379:AD379"/>
    <mergeCell ref="AE379:AE379"/>
    <mergeCell ref="AF379:AF379"/>
    <mergeCell ref="A380:A380"/>
    <mergeCell ref="B380:B380"/>
    <mergeCell ref="C380:C380"/>
    <mergeCell ref="F380:F380"/>
    <mergeCell ref="G380:G380"/>
    <mergeCell ref="H380:H380"/>
    <mergeCell ref="M380:M380"/>
    <mergeCell ref="N380:N380"/>
    <mergeCell ref="O380:O380"/>
    <mergeCell ref="P380:P380"/>
    <mergeCell ref="Q380:Q380"/>
    <mergeCell ref="R380:R380"/>
    <mergeCell ref="S380:S380"/>
    <mergeCell ref="X380:X380"/>
    <mergeCell ref="Y380:Y380"/>
    <mergeCell ref="Z380:Z380"/>
    <mergeCell ref="AA380:AA380"/>
    <mergeCell ref="AB380:AB380"/>
    <mergeCell ref="AC380:AC380"/>
    <mergeCell ref="AD380:AD380"/>
    <mergeCell ref="AE380:AE380"/>
    <mergeCell ref="AF380:AF380"/>
    <mergeCell ref="A381:A381"/>
    <mergeCell ref="B381:B381"/>
    <mergeCell ref="C381:C381"/>
    <mergeCell ref="F381:F381"/>
    <mergeCell ref="G381:G381"/>
    <mergeCell ref="H381:H381"/>
    <mergeCell ref="M381:M381"/>
    <mergeCell ref="N381:N381"/>
    <mergeCell ref="O381:O381"/>
    <mergeCell ref="P381:P381"/>
    <mergeCell ref="Q381:Q381"/>
    <mergeCell ref="R381:R381"/>
    <mergeCell ref="S381:S381"/>
    <mergeCell ref="X381:X381"/>
    <mergeCell ref="Y381:Y381"/>
    <mergeCell ref="Z381:Z381"/>
    <mergeCell ref="AA381:AA381"/>
    <mergeCell ref="AB381:AB381"/>
    <mergeCell ref="AC381:AC381"/>
    <mergeCell ref="AD381:AD381"/>
    <mergeCell ref="AE381:AE381"/>
    <mergeCell ref="AF381:AF381"/>
    <mergeCell ref="A382:A382"/>
    <mergeCell ref="B382:B382"/>
    <mergeCell ref="C382:C382"/>
    <mergeCell ref="F382:F382"/>
    <mergeCell ref="G382:G382"/>
    <mergeCell ref="H382:H382"/>
    <mergeCell ref="M382:M382"/>
    <mergeCell ref="N382:N382"/>
    <mergeCell ref="O382:O382"/>
    <mergeCell ref="P382:P382"/>
    <mergeCell ref="Q382:Q382"/>
    <mergeCell ref="R382:R382"/>
    <mergeCell ref="S382:S382"/>
    <mergeCell ref="X382:X382"/>
    <mergeCell ref="Y382:Y382"/>
    <mergeCell ref="Z382:Z382"/>
    <mergeCell ref="AA382:AA382"/>
    <mergeCell ref="AB382:AB382"/>
    <mergeCell ref="AC382:AC382"/>
    <mergeCell ref="AD382:AD382"/>
    <mergeCell ref="AE382:AE382"/>
    <mergeCell ref="AF382:AF382"/>
    <mergeCell ref="A383:A383"/>
    <mergeCell ref="B383:B383"/>
    <mergeCell ref="C383:C383"/>
    <mergeCell ref="F383:F383"/>
    <mergeCell ref="G383:G383"/>
    <mergeCell ref="H383:H383"/>
    <mergeCell ref="M383:M383"/>
    <mergeCell ref="N383:N383"/>
    <mergeCell ref="O383:O383"/>
    <mergeCell ref="P383:P383"/>
    <mergeCell ref="Q383:Q383"/>
    <mergeCell ref="R383:R383"/>
    <mergeCell ref="S383:S383"/>
    <mergeCell ref="X383:X383"/>
    <mergeCell ref="Y383:Y383"/>
    <mergeCell ref="Z383:Z383"/>
    <mergeCell ref="AA383:AA383"/>
    <mergeCell ref="AB383:AB383"/>
    <mergeCell ref="AC383:AC383"/>
    <mergeCell ref="AD383:AD383"/>
    <mergeCell ref="AE383:AE383"/>
    <mergeCell ref="AF383:AF383"/>
    <mergeCell ref="A384:A384"/>
    <mergeCell ref="B384:B384"/>
    <mergeCell ref="C384:C384"/>
    <mergeCell ref="F384:F384"/>
    <mergeCell ref="G384:G384"/>
    <mergeCell ref="H384:H384"/>
    <mergeCell ref="M384:M384"/>
    <mergeCell ref="N384:N384"/>
    <mergeCell ref="O384:O384"/>
    <mergeCell ref="P384:P384"/>
    <mergeCell ref="Q384:Q384"/>
    <mergeCell ref="R384:R384"/>
    <mergeCell ref="S384:S384"/>
    <mergeCell ref="X384:X384"/>
    <mergeCell ref="Y384:Y384"/>
    <mergeCell ref="Z384:Z384"/>
    <mergeCell ref="AA384:AA384"/>
    <mergeCell ref="AB384:AB384"/>
    <mergeCell ref="AC384:AC384"/>
    <mergeCell ref="AD384:AD384"/>
    <mergeCell ref="AE384:AE384"/>
    <mergeCell ref="AF384:AF384"/>
    <mergeCell ref="A385:A385"/>
    <mergeCell ref="B385:B385"/>
    <mergeCell ref="C385:C385"/>
    <mergeCell ref="F385:F385"/>
    <mergeCell ref="G385:G385"/>
    <mergeCell ref="H385:H385"/>
    <mergeCell ref="M385:M385"/>
    <mergeCell ref="N385:N385"/>
    <mergeCell ref="O385:O385"/>
    <mergeCell ref="P385:P385"/>
    <mergeCell ref="Q385:Q385"/>
    <mergeCell ref="R385:R385"/>
    <mergeCell ref="S385:S385"/>
    <mergeCell ref="X385:X385"/>
    <mergeCell ref="Y385:Y385"/>
    <mergeCell ref="Z385:Z385"/>
    <mergeCell ref="AA385:AA385"/>
    <mergeCell ref="AB385:AB385"/>
    <mergeCell ref="AC385:AC385"/>
    <mergeCell ref="AD385:AD385"/>
    <mergeCell ref="AE385:AE385"/>
    <mergeCell ref="AF385:AF385"/>
    <mergeCell ref="A386:A386"/>
    <mergeCell ref="B386:B386"/>
    <mergeCell ref="C386:C386"/>
    <mergeCell ref="F386:F386"/>
    <mergeCell ref="G386:G386"/>
    <mergeCell ref="H386:H386"/>
    <mergeCell ref="M386:M386"/>
    <mergeCell ref="N386:N386"/>
    <mergeCell ref="O386:O386"/>
    <mergeCell ref="P386:P386"/>
    <mergeCell ref="Q386:Q386"/>
    <mergeCell ref="R386:R386"/>
    <mergeCell ref="S386:S386"/>
    <mergeCell ref="X386:X386"/>
    <mergeCell ref="Y386:Y386"/>
    <mergeCell ref="Z386:Z386"/>
    <mergeCell ref="AA386:AA386"/>
    <mergeCell ref="AB386:AB386"/>
    <mergeCell ref="AC386:AC386"/>
    <mergeCell ref="AD386:AD386"/>
    <mergeCell ref="AE386:AE386"/>
    <mergeCell ref="AF386:AF386"/>
    <mergeCell ref="A387:A387"/>
    <mergeCell ref="B387:B387"/>
    <mergeCell ref="C387:C387"/>
    <mergeCell ref="F387:F387"/>
    <mergeCell ref="G387:G387"/>
    <mergeCell ref="H387:H387"/>
    <mergeCell ref="M387:M387"/>
    <mergeCell ref="N387:N387"/>
    <mergeCell ref="O387:O387"/>
    <mergeCell ref="P387:P387"/>
    <mergeCell ref="Q387:Q387"/>
    <mergeCell ref="R387:R387"/>
    <mergeCell ref="S387:S387"/>
    <mergeCell ref="X387:X387"/>
    <mergeCell ref="Y387:Y387"/>
    <mergeCell ref="Z387:Z387"/>
    <mergeCell ref="AA387:AA387"/>
    <mergeCell ref="AB387:AB387"/>
    <mergeCell ref="AC387:AC387"/>
    <mergeCell ref="AD387:AD387"/>
    <mergeCell ref="AE387:AE387"/>
    <mergeCell ref="AF387:AF387"/>
    <mergeCell ref="A388:A388"/>
    <mergeCell ref="B388:B388"/>
    <mergeCell ref="C388:C388"/>
    <mergeCell ref="F388:F388"/>
    <mergeCell ref="G388:G388"/>
    <mergeCell ref="H388:H388"/>
    <mergeCell ref="M388:M388"/>
    <mergeCell ref="N388:N388"/>
    <mergeCell ref="O388:O388"/>
    <mergeCell ref="P388:P388"/>
    <mergeCell ref="Q388:Q388"/>
    <mergeCell ref="R388:R388"/>
    <mergeCell ref="S388:S388"/>
    <mergeCell ref="X388:X388"/>
    <mergeCell ref="Y388:Y388"/>
    <mergeCell ref="Z388:Z388"/>
    <mergeCell ref="AA388:AA388"/>
    <mergeCell ref="AB388:AB388"/>
    <mergeCell ref="AC388:AC388"/>
    <mergeCell ref="AD388:AD388"/>
    <mergeCell ref="AE388:AE388"/>
    <mergeCell ref="AF388:AF388"/>
    <mergeCell ref="A389:A389"/>
    <mergeCell ref="B389:B389"/>
    <mergeCell ref="C389:C389"/>
    <mergeCell ref="F389:F389"/>
    <mergeCell ref="G389:G389"/>
    <mergeCell ref="H389:H389"/>
    <mergeCell ref="M389:M389"/>
    <mergeCell ref="N389:N389"/>
    <mergeCell ref="O389:O389"/>
    <mergeCell ref="P389:P389"/>
    <mergeCell ref="Q389:Q389"/>
    <mergeCell ref="R389:R389"/>
    <mergeCell ref="S389:S389"/>
    <mergeCell ref="X389:X389"/>
    <mergeCell ref="Y389:Y389"/>
    <mergeCell ref="Z389:Z389"/>
    <mergeCell ref="AA389:AA389"/>
    <mergeCell ref="AB389:AB389"/>
    <mergeCell ref="AC389:AC389"/>
    <mergeCell ref="AD389:AD389"/>
    <mergeCell ref="AE389:AE389"/>
    <mergeCell ref="AF389:AF389"/>
    <mergeCell ref="A390:A390"/>
    <mergeCell ref="B390:B390"/>
    <mergeCell ref="C390:C390"/>
    <mergeCell ref="F390:F390"/>
    <mergeCell ref="G390:G390"/>
    <mergeCell ref="H390:H390"/>
    <mergeCell ref="M390:M390"/>
    <mergeCell ref="N390:N390"/>
    <mergeCell ref="O390:O390"/>
    <mergeCell ref="P390:P390"/>
    <mergeCell ref="Q390:Q390"/>
    <mergeCell ref="R390:R390"/>
    <mergeCell ref="S390:S390"/>
    <mergeCell ref="X390:X390"/>
    <mergeCell ref="Y390:Y390"/>
    <mergeCell ref="Z390:Z390"/>
    <mergeCell ref="AA390:AA390"/>
    <mergeCell ref="AB390:AB390"/>
    <mergeCell ref="AC390:AC390"/>
    <mergeCell ref="AD390:AD390"/>
    <mergeCell ref="AE390:AE390"/>
    <mergeCell ref="AF390:AF390"/>
    <mergeCell ref="A391:A391"/>
    <mergeCell ref="B391:B391"/>
    <mergeCell ref="C391:C391"/>
    <mergeCell ref="F391:F391"/>
    <mergeCell ref="G391:G391"/>
    <mergeCell ref="H391:H391"/>
    <mergeCell ref="M391:M391"/>
    <mergeCell ref="N391:N391"/>
    <mergeCell ref="O391:O391"/>
    <mergeCell ref="P391:P391"/>
    <mergeCell ref="Q391:Q391"/>
    <mergeCell ref="R391:R391"/>
    <mergeCell ref="S391:S391"/>
    <mergeCell ref="X391:X391"/>
    <mergeCell ref="Y391:Y391"/>
    <mergeCell ref="Z391:Z391"/>
    <mergeCell ref="AA391:AA391"/>
    <mergeCell ref="AB391:AB391"/>
    <mergeCell ref="AC391:AC391"/>
    <mergeCell ref="AD391:AD391"/>
    <mergeCell ref="AE391:AE391"/>
    <mergeCell ref="AF391:AF391"/>
    <mergeCell ref="A392:A392"/>
    <mergeCell ref="B392:B392"/>
    <mergeCell ref="C392:C392"/>
    <mergeCell ref="F392:F392"/>
    <mergeCell ref="G392:G392"/>
    <mergeCell ref="H392:H392"/>
    <mergeCell ref="M392:M392"/>
    <mergeCell ref="N392:N392"/>
    <mergeCell ref="O392:O392"/>
    <mergeCell ref="P392:P392"/>
    <mergeCell ref="Q392:Q392"/>
    <mergeCell ref="R392:R392"/>
    <mergeCell ref="S392:S392"/>
    <mergeCell ref="X392:X392"/>
    <mergeCell ref="Y392:Y392"/>
    <mergeCell ref="Z392:Z392"/>
    <mergeCell ref="AA392:AA392"/>
    <mergeCell ref="AB392:AB392"/>
    <mergeCell ref="AC392:AC392"/>
    <mergeCell ref="AD392:AD392"/>
    <mergeCell ref="AE392:AE392"/>
    <mergeCell ref="AF392:AF392"/>
    <mergeCell ref="A393:A393"/>
    <mergeCell ref="B393:B393"/>
    <mergeCell ref="C393:C393"/>
    <mergeCell ref="F393:F393"/>
    <mergeCell ref="G393:G393"/>
    <mergeCell ref="H393:H393"/>
    <mergeCell ref="M393:M393"/>
    <mergeCell ref="N393:N393"/>
    <mergeCell ref="O393:O393"/>
    <mergeCell ref="P393:P393"/>
    <mergeCell ref="Q393:Q393"/>
    <mergeCell ref="R393:R393"/>
    <mergeCell ref="S393:S393"/>
    <mergeCell ref="X393:X393"/>
    <mergeCell ref="Y393:Y393"/>
    <mergeCell ref="Z393:Z393"/>
    <mergeCell ref="AA393:AA393"/>
    <mergeCell ref="AB393:AB393"/>
    <mergeCell ref="AC393:AC393"/>
    <mergeCell ref="AD393:AD393"/>
    <mergeCell ref="AE393:AE393"/>
    <mergeCell ref="AF393:AF393"/>
    <mergeCell ref="A394:A394"/>
    <mergeCell ref="B394:B394"/>
    <mergeCell ref="C394:C394"/>
    <mergeCell ref="F394:F394"/>
    <mergeCell ref="G394:G394"/>
    <mergeCell ref="H394:H394"/>
    <mergeCell ref="M394:M394"/>
    <mergeCell ref="N394:N394"/>
    <mergeCell ref="O394:O394"/>
    <mergeCell ref="P394:P394"/>
    <mergeCell ref="Q394:Q394"/>
    <mergeCell ref="R394:R394"/>
    <mergeCell ref="S394:S394"/>
    <mergeCell ref="X394:X394"/>
    <mergeCell ref="Y394:Y394"/>
    <mergeCell ref="Z394:Z394"/>
    <mergeCell ref="AA394:AA394"/>
    <mergeCell ref="AB394:AB394"/>
    <mergeCell ref="AC394:AC394"/>
    <mergeCell ref="AD394:AD394"/>
    <mergeCell ref="AE394:AE394"/>
    <mergeCell ref="AF394:AF394"/>
    <mergeCell ref="A395:A395"/>
    <mergeCell ref="B395:B395"/>
    <mergeCell ref="C395:C395"/>
    <mergeCell ref="F395:F395"/>
    <mergeCell ref="G395:G395"/>
    <mergeCell ref="H395:H395"/>
    <mergeCell ref="M395:M395"/>
    <mergeCell ref="N395:N395"/>
    <mergeCell ref="O395:O395"/>
    <mergeCell ref="P395:P395"/>
    <mergeCell ref="Q395:Q395"/>
    <mergeCell ref="R395:R395"/>
    <mergeCell ref="S395:S395"/>
    <mergeCell ref="X395:X395"/>
    <mergeCell ref="Y395:Y395"/>
    <mergeCell ref="Z395:Z395"/>
    <mergeCell ref="AA395:AA395"/>
    <mergeCell ref="AB395:AB395"/>
    <mergeCell ref="AC395:AC395"/>
    <mergeCell ref="AD395:AD395"/>
    <mergeCell ref="AE395:AE395"/>
    <mergeCell ref="AF395:AF395"/>
    <mergeCell ref="A396:A396"/>
    <mergeCell ref="B396:B396"/>
    <mergeCell ref="C396:C396"/>
    <mergeCell ref="F396:F396"/>
    <mergeCell ref="G396:G396"/>
    <mergeCell ref="H396:H396"/>
    <mergeCell ref="M396:M396"/>
    <mergeCell ref="N396:N396"/>
    <mergeCell ref="O396:O396"/>
    <mergeCell ref="P396:P396"/>
    <mergeCell ref="Q396:Q396"/>
    <mergeCell ref="R396:R396"/>
    <mergeCell ref="S396:S396"/>
    <mergeCell ref="X396:X396"/>
    <mergeCell ref="Y396:Y396"/>
    <mergeCell ref="Z396:Z396"/>
    <mergeCell ref="AA396:AA396"/>
    <mergeCell ref="AB396:AB396"/>
    <mergeCell ref="AC396:AC396"/>
    <mergeCell ref="AD396:AD396"/>
    <mergeCell ref="AE396:AE396"/>
    <mergeCell ref="AF396:AF396"/>
    <mergeCell ref="A397:A397"/>
    <mergeCell ref="B397:B397"/>
    <mergeCell ref="C397:C397"/>
    <mergeCell ref="F397:F397"/>
    <mergeCell ref="G397:G397"/>
    <mergeCell ref="H397:H397"/>
    <mergeCell ref="M397:M397"/>
    <mergeCell ref="N397:N397"/>
    <mergeCell ref="O397:O397"/>
    <mergeCell ref="P397:P397"/>
    <mergeCell ref="Q397:Q397"/>
    <mergeCell ref="R397:R397"/>
    <mergeCell ref="S397:S397"/>
    <mergeCell ref="X397:X397"/>
    <mergeCell ref="Y397:Y397"/>
    <mergeCell ref="Z397:Z397"/>
    <mergeCell ref="AA397:AA397"/>
    <mergeCell ref="AB397:AB397"/>
    <mergeCell ref="AC397:AC397"/>
    <mergeCell ref="AD397:AD397"/>
    <mergeCell ref="AE397:AE397"/>
    <mergeCell ref="AF397:AF397"/>
    <mergeCell ref="A398:A398"/>
    <mergeCell ref="B398:B398"/>
    <mergeCell ref="C398:C398"/>
    <mergeCell ref="F398:F398"/>
    <mergeCell ref="G398:G398"/>
    <mergeCell ref="H398:H398"/>
    <mergeCell ref="M398:M398"/>
    <mergeCell ref="N398:N398"/>
    <mergeCell ref="O398:O398"/>
    <mergeCell ref="P398:P398"/>
    <mergeCell ref="Q398:Q398"/>
    <mergeCell ref="R398:R398"/>
    <mergeCell ref="S398:S398"/>
    <mergeCell ref="X398:X398"/>
    <mergeCell ref="Y398:Y398"/>
    <mergeCell ref="Z398:Z398"/>
    <mergeCell ref="AA398:AA398"/>
    <mergeCell ref="AB398:AB398"/>
    <mergeCell ref="AC398:AC398"/>
    <mergeCell ref="AD398:AD398"/>
    <mergeCell ref="AE398:AE398"/>
    <mergeCell ref="AF398:AF398"/>
    <mergeCell ref="A399:A399"/>
    <mergeCell ref="B399:B399"/>
    <mergeCell ref="C399:C399"/>
    <mergeCell ref="F399:F399"/>
    <mergeCell ref="G399:G399"/>
    <mergeCell ref="H399:H399"/>
    <mergeCell ref="M399:M399"/>
    <mergeCell ref="N399:N399"/>
    <mergeCell ref="O399:O399"/>
    <mergeCell ref="P399:P399"/>
    <mergeCell ref="Q399:Q399"/>
    <mergeCell ref="R399:R399"/>
    <mergeCell ref="S399:S399"/>
    <mergeCell ref="X399:X399"/>
    <mergeCell ref="Y399:Y399"/>
    <mergeCell ref="Z399:Z399"/>
    <mergeCell ref="AA399:AA399"/>
    <mergeCell ref="AB399:AB399"/>
    <mergeCell ref="AC399:AC399"/>
    <mergeCell ref="AD399:AD399"/>
    <mergeCell ref="AE399:AE399"/>
    <mergeCell ref="AF399:AF399"/>
    <mergeCell ref="A400:A400"/>
    <mergeCell ref="B400:B400"/>
    <mergeCell ref="C400:C400"/>
    <mergeCell ref="F400:F400"/>
    <mergeCell ref="G400:G400"/>
    <mergeCell ref="H400:H400"/>
    <mergeCell ref="M400:M400"/>
    <mergeCell ref="N400:N400"/>
    <mergeCell ref="O400:O400"/>
    <mergeCell ref="P400:P400"/>
    <mergeCell ref="Q400:Q400"/>
    <mergeCell ref="R400:R400"/>
    <mergeCell ref="S400:S400"/>
    <mergeCell ref="X400:X400"/>
    <mergeCell ref="Y400:Y400"/>
    <mergeCell ref="Z400:Z400"/>
    <mergeCell ref="AA400:AA400"/>
    <mergeCell ref="AB400:AB400"/>
    <mergeCell ref="AC400:AC400"/>
    <mergeCell ref="AD400:AD400"/>
    <mergeCell ref="AE400:AE400"/>
    <mergeCell ref="AF400:AF400"/>
    <mergeCell ref="A401:A401"/>
    <mergeCell ref="B401:B401"/>
    <mergeCell ref="C401:C401"/>
    <mergeCell ref="F401:F401"/>
    <mergeCell ref="G401:G401"/>
    <mergeCell ref="H401:H401"/>
    <mergeCell ref="M401:M401"/>
    <mergeCell ref="N401:N401"/>
    <mergeCell ref="O401:O401"/>
    <mergeCell ref="P401:P401"/>
    <mergeCell ref="Q401:Q401"/>
    <mergeCell ref="R401:R401"/>
    <mergeCell ref="S401:S401"/>
    <mergeCell ref="X401:X401"/>
    <mergeCell ref="Y401:Y401"/>
    <mergeCell ref="Z401:Z401"/>
    <mergeCell ref="AA401:AA401"/>
    <mergeCell ref="AB401:AB401"/>
    <mergeCell ref="AC401:AC401"/>
    <mergeCell ref="AD401:AD401"/>
    <mergeCell ref="AE401:AE401"/>
    <mergeCell ref="AF401:AF401"/>
    <mergeCell ref="A402:A402"/>
    <mergeCell ref="B402:B402"/>
    <mergeCell ref="C402:C402"/>
    <mergeCell ref="F402:F402"/>
    <mergeCell ref="G402:G402"/>
    <mergeCell ref="H402:H402"/>
    <mergeCell ref="M402:M402"/>
    <mergeCell ref="N402:N402"/>
    <mergeCell ref="O402:O402"/>
    <mergeCell ref="P402:P402"/>
    <mergeCell ref="Q402:Q402"/>
    <mergeCell ref="R402:R402"/>
    <mergeCell ref="S402:S402"/>
    <mergeCell ref="X402:X402"/>
    <mergeCell ref="Y402:Y402"/>
    <mergeCell ref="Z402:Z402"/>
    <mergeCell ref="AA402:AA402"/>
    <mergeCell ref="AB402:AB402"/>
    <mergeCell ref="AC402:AC402"/>
    <mergeCell ref="AD402:AD402"/>
    <mergeCell ref="AE402:AE402"/>
    <mergeCell ref="AF402:AF402"/>
    <mergeCell ref="A403:A403"/>
    <mergeCell ref="B403:B403"/>
    <mergeCell ref="C403:C403"/>
    <mergeCell ref="F403:F403"/>
    <mergeCell ref="G403:G403"/>
    <mergeCell ref="H403:H403"/>
    <mergeCell ref="M403:M403"/>
    <mergeCell ref="N403:N403"/>
    <mergeCell ref="O403:O403"/>
    <mergeCell ref="P403:P403"/>
    <mergeCell ref="Q403:Q403"/>
    <mergeCell ref="R403:R403"/>
    <mergeCell ref="S403:S403"/>
    <mergeCell ref="X403:X403"/>
    <mergeCell ref="Y403:Y403"/>
    <mergeCell ref="Z403:Z403"/>
    <mergeCell ref="AA403:AA403"/>
    <mergeCell ref="AB403:AB403"/>
    <mergeCell ref="AC403:AC403"/>
    <mergeCell ref="AD403:AD403"/>
    <mergeCell ref="AE403:AE403"/>
    <mergeCell ref="AF403:AF403"/>
    <mergeCell ref="A404:A404"/>
    <mergeCell ref="B404:B404"/>
    <mergeCell ref="C404:C404"/>
    <mergeCell ref="F404:F404"/>
    <mergeCell ref="G404:G404"/>
    <mergeCell ref="H404:H404"/>
    <mergeCell ref="M404:M404"/>
    <mergeCell ref="N404:N404"/>
    <mergeCell ref="O404:O404"/>
    <mergeCell ref="P404:P404"/>
    <mergeCell ref="Q404:Q404"/>
    <mergeCell ref="R404:R404"/>
    <mergeCell ref="S404:S404"/>
    <mergeCell ref="X404:X404"/>
    <mergeCell ref="Y404:Y404"/>
    <mergeCell ref="Z404:Z404"/>
    <mergeCell ref="AA404:AA404"/>
    <mergeCell ref="AB404:AB404"/>
    <mergeCell ref="AC404:AC404"/>
    <mergeCell ref="AD404:AD404"/>
    <mergeCell ref="AE404:AE404"/>
    <mergeCell ref="AF404:AF404"/>
    <mergeCell ref="A405:A405"/>
    <mergeCell ref="B405:B405"/>
    <mergeCell ref="C405:C405"/>
    <mergeCell ref="F405:F405"/>
    <mergeCell ref="G405:G405"/>
    <mergeCell ref="H405:H405"/>
    <mergeCell ref="M405:M405"/>
    <mergeCell ref="N405:N405"/>
    <mergeCell ref="O405:O405"/>
    <mergeCell ref="P405:P405"/>
    <mergeCell ref="Q405:Q405"/>
    <mergeCell ref="R405:R405"/>
    <mergeCell ref="S405:S405"/>
    <mergeCell ref="X405:X405"/>
    <mergeCell ref="Y405:Y405"/>
    <mergeCell ref="Z405:Z405"/>
    <mergeCell ref="AA405:AA405"/>
    <mergeCell ref="AB405:AB405"/>
    <mergeCell ref="AC405:AC405"/>
    <mergeCell ref="AD405:AD405"/>
    <mergeCell ref="AE405:AE405"/>
    <mergeCell ref="AF405:AF405"/>
    <mergeCell ref="A406:A406"/>
    <mergeCell ref="B406:B406"/>
    <mergeCell ref="C406:C406"/>
    <mergeCell ref="F406:F406"/>
    <mergeCell ref="G406:G406"/>
    <mergeCell ref="H406:H406"/>
    <mergeCell ref="M406:M406"/>
    <mergeCell ref="N406:N406"/>
    <mergeCell ref="O406:O406"/>
    <mergeCell ref="P406:P406"/>
    <mergeCell ref="Q406:Q406"/>
    <mergeCell ref="R406:R406"/>
    <mergeCell ref="S406:S406"/>
    <mergeCell ref="X406:X406"/>
    <mergeCell ref="Y406:Y406"/>
    <mergeCell ref="Z406:Z406"/>
    <mergeCell ref="AA406:AA406"/>
    <mergeCell ref="AB406:AB406"/>
    <mergeCell ref="AC406:AC406"/>
    <mergeCell ref="AD406:AD406"/>
    <mergeCell ref="AE406:AE406"/>
    <mergeCell ref="AF406:AF406"/>
    <mergeCell ref="A407:A407"/>
    <mergeCell ref="B407:B407"/>
    <mergeCell ref="C407:C407"/>
    <mergeCell ref="F407:F407"/>
    <mergeCell ref="G407:G407"/>
    <mergeCell ref="H407:H407"/>
    <mergeCell ref="M407:M407"/>
    <mergeCell ref="N407:N407"/>
    <mergeCell ref="O407:O407"/>
    <mergeCell ref="P407:P407"/>
    <mergeCell ref="Q407:Q407"/>
    <mergeCell ref="R407:R407"/>
    <mergeCell ref="S407:S407"/>
    <mergeCell ref="X407:X407"/>
    <mergeCell ref="Y407:Y407"/>
    <mergeCell ref="Z407:Z407"/>
    <mergeCell ref="AA407:AA407"/>
    <mergeCell ref="AB407:AB407"/>
    <mergeCell ref="AC407:AC407"/>
    <mergeCell ref="AD407:AD407"/>
    <mergeCell ref="AE407:AE407"/>
    <mergeCell ref="AF407:AF407"/>
    <mergeCell ref="A408:A408"/>
    <mergeCell ref="B408:B408"/>
    <mergeCell ref="C408:C408"/>
    <mergeCell ref="F408:F408"/>
    <mergeCell ref="G408:G408"/>
    <mergeCell ref="H408:H408"/>
    <mergeCell ref="M408:M408"/>
    <mergeCell ref="N408:N408"/>
    <mergeCell ref="O408:O408"/>
    <mergeCell ref="P408:P408"/>
    <mergeCell ref="Q408:Q408"/>
    <mergeCell ref="R408:R408"/>
    <mergeCell ref="S408:S408"/>
    <mergeCell ref="X408:X408"/>
    <mergeCell ref="Y408:Y408"/>
    <mergeCell ref="Z408:Z408"/>
    <mergeCell ref="AA408:AA408"/>
    <mergeCell ref="AB408:AB408"/>
    <mergeCell ref="AC408:AC408"/>
    <mergeCell ref="AD408:AD408"/>
    <mergeCell ref="AE408:AE408"/>
    <mergeCell ref="AF408:AF408"/>
    <mergeCell ref="A409:A409"/>
    <mergeCell ref="B409:B409"/>
    <mergeCell ref="C409:C409"/>
    <mergeCell ref="F409:F409"/>
    <mergeCell ref="G409:G409"/>
    <mergeCell ref="H409:H409"/>
    <mergeCell ref="M409:M409"/>
    <mergeCell ref="N409:N409"/>
    <mergeCell ref="O409:O409"/>
    <mergeCell ref="P409:P409"/>
    <mergeCell ref="Q409:Q409"/>
    <mergeCell ref="R409:R409"/>
    <mergeCell ref="S409:S409"/>
    <mergeCell ref="X409:X409"/>
    <mergeCell ref="Y409:Y409"/>
    <mergeCell ref="Z409:Z409"/>
    <mergeCell ref="AA409:AA409"/>
    <mergeCell ref="AB409:AB409"/>
    <mergeCell ref="AC409:AC409"/>
    <mergeCell ref="AD409:AD409"/>
    <mergeCell ref="AE409:AE409"/>
    <mergeCell ref="AF409:AF409"/>
    <mergeCell ref="A410:A410"/>
    <mergeCell ref="B410:B410"/>
    <mergeCell ref="C410:C410"/>
    <mergeCell ref="F410:F410"/>
    <mergeCell ref="G410:G410"/>
    <mergeCell ref="H410:H410"/>
    <mergeCell ref="M410:M410"/>
    <mergeCell ref="N410:N410"/>
    <mergeCell ref="O410:O410"/>
    <mergeCell ref="P410:P410"/>
    <mergeCell ref="Q410:Q410"/>
    <mergeCell ref="R410:R410"/>
    <mergeCell ref="S410:S410"/>
    <mergeCell ref="X410:X410"/>
    <mergeCell ref="Y410:Y410"/>
    <mergeCell ref="Z410:Z410"/>
    <mergeCell ref="AA410:AA410"/>
    <mergeCell ref="AB410:AB410"/>
    <mergeCell ref="AC410:AC410"/>
    <mergeCell ref="AD410:AD410"/>
    <mergeCell ref="AE410:AE410"/>
    <mergeCell ref="AF410:AF410"/>
    <mergeCell ref="A411:A411"/>
    <mergeCell ref="B411:B411"/>
    <mergeCell ref="C411:C411"/>
    <mergeCell ref="F411:F411"/>
    <mergeCell ref="G411:G411"/>
    <mergeCell ref="H411:H411"/>
    <mergeCell ref="M411:M411"/>
    <mergeCell ref="N411:N411"/>
    <mergeCell ref="O411:O411"/>
    <mergeCell ref="P411:P411"/>
    <mergeCell ref="Q411:Q411"/>
    <mergeCell ref="R411:R411"/>
    <mergeCell ref="S411:S411"/>
    <mergeCell ref="X411:X411"/>
    <mergeCell ref="Y411:Y411"/>
    <mergeCell ref="Z411:Z411"/>
    <mergeCell ref="AA411:AA411"/>
    <mergeCell ref="AB411:AB411"/>
    <mergeCell ref="AC411:AC411"/>
    <mergeCell ref="AD411:AD411"/>
    <mergeCell ref="AE411:AE411"/>
    <mergeCell ref="AF411:AF411"/>
    <mergeCell ref="A412:A412"/>
    <mergeCell ref="B412:B412"/>
    <mergeCell ref="C412:C412"/>
    <mergeCell ref="F412:F412"/>
    <mergeCell ref="G412:G412"/>
    <mergeCell ref="H412:H412"/>
    <mergeCell ref="M412:M412"/>
    <mergeCell ref="N412:N412"/>
    <mergeCell ref="O412:O412"/>
    <mergeCell ref="P412:P412"/>
    <mergeCell ref="Q412:Q412"/>
    <mergeCell ref="R412:R412"/>
    <mergeCell ref="S412:S412"/>
    <mergeCell ref="X412:X412"/>
    <mergeCell ref="Y412:Y412"/>
    <mergeCell ref="Z412:Z412"/>
    <mergeCell ref="AA412:AA412"/>
    <mergeCell ref="AB412:AB412"/>
    <mergeCell ref="AC412:AC412"/>
    <mergeCell ref="AD412:AD412"/>
    <mergeCell ref="AE412:AE412"/>
    <mergeCell ref="AF412:AF412"/>
    <mergeCell ref="A413:A413"/>
    <mergeCell ref="B413:B413"/>
    <mergeCell ref="C413:C413"/>
    <mergeCell ref="F413:F413"/>
    <mergeCell ref="G413:G413"/>
    <mergeCell ref="H413:H413"/>
    <mergeCell ref="M413:M413"/>
    <mergeCell ref="N413:N413"/>
    <mergeCell ref="O413:O413"/>
    <mergeCell ref="P413:P413"/>
    <mergeCell ref="Q413:Q413"/>
    <mergeCell ref="R413:R413"/>
    <mergeCell ref="S413:S413"/>
    <mergeCell ref="X413:X413"/>
    <mergeCell ref="Y413:Y413"/>
    <mergeCell ref="Z413:Z413"/>
    <mergeCell ref="AA413:AA413"/>
    <mergeCell ref="AB413:AB413"/>
    <mergeCell ref="AC413:AC413"/>
    <mergeCell ref="AD413:AD413"/>
    <mergeCell ref="AE413:AE413"/>
    <mergeCell ref="AF413:AF413"/>
    <mergeCell ref="A414:A414"/>
    <mergeCell ref="B414:B414"/>
    <mergeCell ref="C414:C414"/>
    <mergeCell ref="F414:F414"/>
    <mergeCell ref="G414:G414"/>
    <mergeCell ref="H414:H414"/>
    <mergeCell ref="M414:M414"/>
    <mergeCell ref="N414:N414"/>
    <mergeCell ref="O414:O414"/>
    <mergeCell ref="P414:P414"/>
    <mergeCell ref="Q414:Q414"/>
    <mergeCell ref="R414:R414"/>
    <mergeCell ref="S414:S414"/>
    <mergeCell ref="X414:X414"/>
    <mergeCell ref="Y414:Y414"/>
    <mergeCell ref="Z414:Z414"/>
    <mergeCell ref="AA414:AA414"/>
    <mergeCell ref="AB414:AB414"/>
    <mergeCell ref="AC414:AC414"/>
    <mergeCell ref="AD414:AD414"/>
    <mergeCell ref="AE414:AE414"/>
    <mergeCell ref="AF414:AF414"/>
    <mergeCell ref="A415:A415"/>
    <mergeCell ref="B415:B415"/>
    <mergeCell ref="C415:C415"/>
    <mergeCell ref="F415:F415"/>
    <mergeCell ref="G415:G415"/>
    <mergeCell ref="H415:H415"/>
    <mergeCell ref="M415:M415"/>
    <mergeCell ref="N415:N415"/>
    <mergeCell ref="O415:O415"/>
    <mergeCell ref="P415:P415"/>
    <mergeCell ref="Q415:Q415"/>
    <mergeCell ref="R415:R415"/>
    <mergeCell ref="S415:S415"/>
    <mergeCell ref="X415:X415"/>
    <mergeCell ref="Y415:Y415"/>
    <mergeCell ref="Z415:Z415"/>
    <mergeCell ref="AA415:AA415"/>
    <mergeCell ref="AB415:AB415"/>
    <mergeCell ref="AC415:AC415"/>
    <mergeCell ref="AD415:AD415"/>
    <mergeCell ref="AE415:AE415"/>
    <mergeCell ref="AF415:AF415"/>
    <mergeCell ref="A416:A416"/>
    <mergeCell ref="B416:B416"/>
    <mergeCell ref="C416:C416"/>
    <mergeCell ref="F416:F416"/>
    <mergeCell ref="G416:G416"/>
    <mergeCell ref="H416:H416"/>
    <mergeCell ref="M416:M416"/>
    <mergeCell ref="N416:N416"/>
    <mergeCell ref="O416:O416"/>
    <mergeCell ref="P416:P416"/>
    <mergeCell ref="Q416:Q416"/>
    <mergeCell ref="R416:R416"/>
    <mergeCell ref="S416:S416"/>
    <mergeCell ref="X416:X416"/>
    <mergeCell ref="Y416:Y416"/>
    <mergeCell ref="Z416:Z416"/>
    <mergeCell ref="AA416:AA416"/>
    <mergeCell ref="AB416:AB416"/>
    <mergeCell ref="AC416:AC416"/>
    <mergeCell ref="AD416:AD416"/>
    <mergeCell ref="AE416:AE416"/>
    <mergeCell ref="AF416:AF416"/>
    <mergeCell ref="A417:A417"/>
    <mergeCell ref="B417:B417"/>
    <mergeCell ref="C417:C417"/>
    <mergeCell ref="F417:F417"/>
    <mergeCell ref="G417:G417"/>
    <mergeCell ref="H417:H417"/>
    <mergeCell ref="M417:M417"/>
    <mergeCell ref="N417:N417"/>
    <mergeCell ref="O417:O417"/>
    <mergeCell ref="P417:P417"/>
    <mergeCell ref="Q417:Q417"/>
    <mergeCell ref="R417:R417"/>
    <mergeCell ref="S417:S417"/>
    <mergeCell ref="X417:X417"/>
    <mergeCell ref="Y417:Y417"/>
    <mergeCell ref="Z417:Z417"/>
    <mergeCell ref="AA417:AA417"/>
    <mergeCell ref="AB417:AB417"/>
    <mergeCell ref="AC417:AC417"/>
    <mergeCell ref="AD417:AD417"/>
    <mergeCell ref="AE417:AE417"/>
    <mergeCell ref="AF417:AF417"/>
    <mergeCell ref="A418:A418"/>
    <mergeCell ref="B418:B418"/>
    <mergeCell ref="C418:C418"/>
    <mergeCell ref="F418:F418"/>
    <mergeCell ref="G418:G418"/>
    <mergeCell ref="H418:H418"/>
    <mergeCell ref="M418:M418"/>
    <mergeCell ref="N418:N418"/>
    <mergeCell ref="O418:O418"/>
    <mergeCell ref="P418:P418"/>
    <mergeCell ref="Q418:Q418"/>
    <mergeCell ref="R418:R418"/>
    <mergeCell ref="S418:S418"/>
    <mergeCell ref="X418:X418"/>
    <mergeCell ref="Y418:Y418"/>
    <mergeCell ref="Z418:Z418"/>
    <mergeCell ref="AA418:AA418"/>
    <mergeCell ref="AB418:AB418"/>
    <mergeCell ref="AC418:AC418"/>
    <mergeCell ref="AD418:AD418"/>
    <mergeCell ref="AE418:AE418"/>
    <mergeCell ref="AF418:AF418"/>
    <mergeCell ref="A419:A419"/>
    <mergeCell ref="B419:B419"/>
    <mergeCell ref="C419:C419"/>
    <mergeCell ref="F419:F419"/>
    <mergeCell ref="G419:G419"/>
    <mergeCell ref="H419:H419"/>
    <mergeCell ref="M419:M419"/>
    <mergeCell ref="N419:N419"/>
    <mergeCell ref="O419:O419"/>
    <mergeCell ref="P419:P419"/>
    <mergeCell ref="Q419:Q419"/>
    <mergeCell ref="R419:R419"/>
    <mergeCell ref="S419:S419"/>
    <mergeCell ref="X419:X419"/>
    <mergeCell ref="Y419:Y419"/>
    <mergeCell ref="Z419:Z419"/>
    <mergeCell ref="AA419:AA419"/>
    <mergeCell ref="AB419:AB419"/>
    <mergeCell ref="AC419:AC419"/>
    <mergeCell ref="AD419:AD419"/>
    <mergeCell ref="AE419:AE419"/>
    <mergeCell ref="AF419:AF419"/>
    <mergeCell ref="A420:A420"/>
    <mergeCell ref="B420:B420"/>
    <mergeCell ref="C420:C420"/>
    <mergeCell ref="F420:F420"/>
    <mergeCell ref="G420:G420"/>
    <mergeCell ref="H420:H420"/>
    <mergeCell ref="M420:M420"/>
    <mergeCell ref="N420:N420"/>
    <mergeCell ref="O420:O420"/>
    <mergeCell ref="P420:P420"/>
    <mergeCell ref="Q420:Q420"/>
    <mergeCell ref="R420:R420"/>
    <mergeCell ref="S420:S420"/>
    <mergeCell ref="X420:X420"/>
    <mergeCell ref="Y420:Y420"/>
    <mergeCell ref="Z420:Z420"/>
    <mergeCell ref="AA420:AA420"/>
    <mergeCell ref="AB420:AB420"/>
    <mergeCell ref="AC420:AC420"/>
    <mergeCell ref="AD420:AD420"/>
    <mergeCell ref="AE420:AE420"/>
    <mergeCell ref="AF420:AF420"/>
    <mergeCell ref="A421:A421"/>
    <mergeCell ref="B421:B421"/>
    <mergeCell ref="C421:C421"/>
    <mergeCell ref="F421:F421"/>
    <mergeCell ref="G421:G421"/>
    <mergeCell ref="H421:H421"/>
    <mergeCell ref="M421:M421"/>
    <mergeCell ref="N421:N421"/>
    <mergeCell ref="O421:O421"/>
    <mergeCell ref="P421:P421"/>
    <mergeCell ref="Q421:Q421"/>
    <mergeCell ref="R421:R421"/>
    <mergeCell ref="S421:S421"/>
    <mergeCell ref="X421:X421"/>
    <mergeCell ref="Y421:Y421"/>
    <mergeCell ref="Z421:Z421"/>
    <mergeCell ref="AA421:AA421"/>
    <mergeCell ref="AB421:AB421"/>
    <mergeCell ref="AC421:AC421"/>
    <mergeCell ref="AD421:AD421"/>
    <mergeCell ref="AE421:AE421"/>
    <mergeCell ref="AF421:AF421"/>
    <mergeCell ref="A422:A422"/>
    <mergeCell ref="B422:B422"/>
    <mergeCell ref="C422:C422"/>
    <mergeCell ref="F422:F422"/>
    <mergeCell ref="G422:G422"/>
    <mergeCell ref="H422:H422"/>
    <mergeCell ref="M422:M422"/>
    <mergeCell ref="N422:N422"/>
    <mergeCell ref="O422:O422"/>
    <mergeCell ref="P422:P422"/>
    <mergeCell ref="Q422:Q422"/>
    <mergeCell ref="R422:R422"/>
    <mergeCell ref="S422:S422"/>
    <mergeCell ref="X422:X422"/>
    <mergeCell ref="Y422:Y422"/>
    <mergeCell ref="Z422:Z422"/>
    <mergeCell ref="AA422:AA422"/>
    <mergeCell ref="AB422:AB422"/>
    <mergeCell ref="AC422:AC422"/>
    <mergeCell ref="AD422:AD422"/>
    <mergeCell ref="AE422:AE422"/>
    <mergeCell ref="AF422:AF422"/>
    <mergeCell ref="A423:A423"/>
    <mergeCell ref="B423:B423"/>
    <mergeCell ref="C423:C423"/>
    <mergeCell ref="F423:F423"/>
    <mergeCell ref="G423:G423"/>
    <mergeCell ref="H423:H423"/>
    <mergeCell ref="M423:M423"/>
    <mergeCell ref="N423:N423"/>
    <mergeCell ref="O423:O423"/>
    <mergeCell ref="P423:P423"/>
    <mergeCell ref="Q423:Q423"/>
    <mergeCell ref="R423:R423"/>
    <mergeCell ref="S423:S423"/>
    <mergeCell ref="X423:X423"/>
    <mergeCell ref="Y423:Y423"/>
    <mergeCell ref="Z423:Z423"/>
    <mergeCell ref="AA423:AA423"/>
    <mergeCell ref="AB423:AB423"/>
    <mergeCell ref="AC423:AC423"/>
    <mergeCell ref="AD423:AD423"/>
    <mergeCell ref="AE423:AE423"/>
    <mergeCell ref="AF423:AF423"/>
    <mergeCell ref="A424:A424"/>
    <mergeCell ref="B424:B424"/>
    <mergeCell ref="C424:C424"/>
    <mergeCell ref="F424:F424"/>
    <mergeCell ref="G424:G424"/>
    <mergeCell ref="H424:H424"/>
    <mergeCell ref="M424:M424"/>
    <mergeCell ref="N424:N424"/>
    <mergeCell ref="O424:O424"/>
    <mergeCell ref="P424:P424"/>
    <mergeCell ref="Q424:Q424"/>
    <mergeCell ref="R424:R424"/>
    <mergeCell ref="S424:S424"/>
    <mergeCell ref="X424:X424"/>
    <mergeCell ref="Y424:Y424"/>
    <mergeCell ref="Z424:Z424"/>
    <mergeCell ref="AA424:AA424"/>
    <mergeCell ref="AB424:AB424"/>
    <mergeCell ref="AC424:AC424"/>
    <mergeCell ref="AD424:AD424"/>
    <mergeCell ref="AE424:AE424"/>
    <mergeCell ref="AF424:AF424"/>
    <mergeCell ref="A425:A425"/>
    <mergeCell ref="B425:B425"/>
    <mergeCell ref="C425:C425"/>
    <mergeCell ref="F425:F425"/>
    <mergeCell ref="G425:G425"/>
    <mergeCell ref="H425:H425"/>
    <mergeCell ref="M425:M425"/>
    <mergeCell ref="N425:N425"/>
    <mergeCell ref="O425:O425"/>
    <mergeCell ref="P425:P425"/>
    <mergeCell ref="Q425:Q425"/>
    <mergeCell ref="R425:R425"/>
    <mergeCell ref="S425:S425"/>
    <mergeCell ref="X425:X425"/>
    <mergeCell ref="Y425:Y425"/>
    <mergeCell ref="Z425:Z425"/>
    <mergeCell ref="AA425:AA425"/>
    <mergeCell ref="AB425:AB425"/>
    <mergeCell ref="AC425:AC425"/>
    <mergeCell ref="AD425:AD425"/>
    <mergeCell ref="AE425:AE425"/>
    <mergeCell ref="AF425:AF425"/>
    <mergeCell ref="A426:A426"/>
    <mergeCell ref="B426:B426"/>
    <mergeCell ref="C426:C426"/>
    <mergeCell ref="F426:F426"/>
    <mergeCell ref="G426:G426"/>
    <mergeCell ref="H426:H426"/>
    <mergeCell ref="M426:M426"/>
    <mergeCell ref="N426:N426"/>
    <mergeCell ref="O426:O426"/>
    <mergeCell ref="P426:P426"/>
    <mergeCell ref="Q426:Q426"/>
    <mergeCell ref="R426:R426"/>
    <mergeCell ref="S426:S426"/>
    <mergeCell ref="X426:X426"/>
    <mergeCell ref="Y426:Y426"/>
    <mergeCell ref="Z426:Z426"/>
    <mergeCell ref="AA426:AA426"/>
    <mergeCell ref="AB426:AB426"/>
    <mergeCell ref="AC426:AC426"/>
    <mergeCell ref="AD426:AD426"/>
    <mergeCell ref="AE426:AE426"/>
    <mergeCell ref="AF426:AF426"/>
    <mergeCell ref="A427:A427"/>
    <mergeCell ref="B427:B427"/>
    <mergeCell ref="C427:C427"/>
    <mergeCell ref="F427:F427"/>
    <mergeCell ref="G427:G427"/>
    <mergeCell ref="H427:H427"/>
    <mergeCell ref="M427:M427"/>
    <mergeCell ref="N427:N427"/>
    <mergeCell ref="O427:O427"/>
    <mergeCell ref="P427:P427"/>
    <mergeCell ref="Q427:Q427"/>
    <mergeCell ref="R427:R427"/>
    <mergeCell ref="S427:S427"/>
    <mergeCell ref="X427:X427"/>
    <mergeCell ref="Y427:Y427"/>
    <mergeCell ref="Z427:Z427"/>
    <mergeCell ref="AA427:AA427"/>
    <mergeCell ref="AB427:AB427"/>
    <mergeCell ref="AC427:AC427"/>
    <mergeCell ref="AD427:AD427"/>
    <mergeCell ref="AE427:AE427"/>
    <mergeCell ref="AF427:AF427"/>
    <mergeCell ref="A428:A428"/>
    <mergeCell ref="B428:B428"/>
    <mergeCell ref="C428:C428"/>
    <mergeCell ref="F428:F428"/>
    <mergeCell ref="G428:G428"/>
    <mergeCell ref="H428:H428"/>
    <mergeCell ref="M428:M428"/>
    <mergeCell ref="N428:N428"/>
    <mergeCell ref="O428:O428"/>
    <mergeCell ref="P428:P428"/>
    <mergeCell ref="Q428:Q428"/>
    <mergeCell ref="R428:R428"/>
    <mergeCell ref="S428:S428"/>
    <mergeCell ref="X428:X428"/>
    <mergeCell ref="Y428:Y428"/>
    <mergeCell ref="Z428:Z428"/>
    <mergeCell ref="AA428:AA428"/>
    <mergeCell ref="AB428:AB428"/>
    <mergeCell ref="AC428:AC428"/>
    <mergeCell ref="AD428:AD428"/>
    <mergeCell ref="AE428:AE428"/>
    <mergeCell ref="AF428:AF428"/>
    <mergeCell ref="A429:A429"/>
    <mergeCell ref="B429:B429"/>
    <mergeCell ref="C429:C429"/>
    <mergeCell ref="F429:F429"/>
    <mergeCell ref="G429:G429"/>
    <mergeCell ref="H429:H429"/>
    <mergeCell ref="M429:M429"/>
    <mergeCell ref="N429:N429"/>
    <mergeCell ref="O429:O429"/>
    <mergeCell ref="P429:P429"/>
    <mergeCell ref="Q429:Q429"/>
    <mergeCell ref="R429:R429"/>
    <mergeCell ref="S429:S429"/>
    <mergeCell ref="X429:X429"/>
    <mergeCell ref="Y429:Y429"/>
    <mergeCell ref="Z429:Z429"/>
    <mergeCell ref="AA429:AA429"/>
    <mergeCell ref="AB429:AB429"/>
    <mergeCell ref="AC429:AC429"/>
    <mergeCell ref="AD429:AD429"/>
    <mergeCell ref="AE429:AE429"/>
    <mergeCell ref="AF429:AF429"/>
    <mergeCell ref="A430:A430"/>
    <mergeCell ref="B430:B430"/>
    <mergeCell ref="C430:C430"/>
    <mergeCell ref="F430:F430"/>
    <mergeCell ref="G430:G430"/>
    <mergeCell ref="H430:H430"/>
    <mergeCell ref="M430:M430"/>
    <mergeCell ref="N430:N430"/>
    <mergeCell ref="O430:O430"/>
    <mergeCell ref="P430:P430"/>
    <mergeCell ref="Q430:Q430"/>
    <mergeCell ref="R430:R430"/>
    <mergeCell ref="S430:S430"/>
    <mergeCell ref="X430:X430"/>
    <mergeCell ref="Y430:Y430"/>
    <mergeCell ref="Z430:Z430"/>
    <mergeCell ref="AA430:AA430"/>
    <mergeCell ref="AB430:AB430"/>
    <mergeCell ref="AC430:AC430"/>
    <mergeCell ref="AD430:AD430"/>
    <mergeCell ref="AE430:AE430"/>
    <mergeCell ref="AF430:AF430"/>
    <mergeCell ref="A431:A431"/>
    <mergeCell ref="B431:B431"/>
    <mergeCell ref="C431:C431"/>
    <mergeCell ref="F431:F431"/>
    <mergeCell ref="G431:G431"/>
    <mergeCell ref="H431:H431"/>
    <mergeCell ref="M431:M431"/>
    <mergeCell ref="N431:N431"/>
    <mergeCell ref="O431:O431"/>
    <mergeCell ref="P431:P431"/>
    <mergeCell ref="Q431:Q431"/>
    <mergeCell ref="R431:R431"/>
    <mergeCell ref="S431:S431"/>
    <mergeCell ref="X431:X431"/>
    <mergeCell ref="Y431:Y431"/>
    <mergeCell ref="Z431:Z431"/>
    <mergeCell ref="AA431:AA431"/>
    <mergeCell ref="AB431:AB431"/>
    <mergeCell ref="AC431:AC431"/>
    <mergeCell ref="AD431:AD431"/>
    <mergeCell ref="AE431:AE431"/>
    <mergeCell ref="AF431:AF431"/>
    <mergeCell ref="A432:A432"/>
    <mergeCell ref="B432:B432"/>
    <mergeCell ref="C432:C432"/>
    <mergeCell ref="F432:F432"/>
    <mergeCell ref="G432:G432"/>
    <mergeCell ref="H432:H432"/>
    <mergeCell ref="M432:M432"/>
    <mergeCell ref="N432:N432"/>
    <mergeCell ref="O432:O432"/>
    <mergeCell ref="P432:P432"/>
    <mergeCell ref="Q432:Q432"/>
    <mergeCell ref="R432:R432"/>
    <mergeCell ref="S432:S432"/>
    <mergeCell ref="X432:X432"/>
    <mergeCell ref="Y432:Y432"/>
    <mergeCell ref="Z432:Z432"/>
    <mergeCell ref="AA432:AA432"/>
    <mergeCell ref="AB432:AB432"/>
    <mergeCell ref="AC432:AC432"/>
    <mergeCell ref="AD432:AD432"/>
    <mergeCell ref="AE432:AE432"/>
    <mergeCell ref="AF432:AF432"/>
    <mergeCell ref="A433:A433"/>
    <mergeCell ref="B433:B433"/>
    <mergeCell ref="C433:C433"/>
    <mergeCell ref="F433:F433"/>
    <mergeCell ref="G433:G433"/>
    <mergeCell ref="H433:H433"/>
    <mergeCell ref="M433:M433"/>
    <mergeCell ref="N433:N433"/>
    <mergeCell ref="O433:O433"/>
    <mergeCell ref="P433:P433"/>
    <mergeCell ref="Q433:Q433"/>
    <mergeCell ref="R433:R433"/>
    <mergeCell ref="S433:S433"/>
    <mergeCell ref="X433:X433"/>
    <mergeCell ref="Y433:Y433"/>
    <mergeCell ref="Z433:Z433"/>
    <mergeCell ref="AA433:AA433"/>
    <mergeCell ref="AB433:AB433"/>
    <mergeCell ref="AC433:AC433"/>
    <mergeCell ref="AD433:AD433"/>
    <mergeCell ref="AE433:AE433"/>
    <mergeCell ref="AF433:AF433"/>
    <mergeCell ref="A434:A434"/>
    <mergeCell ref="B434:B434"/>
    <mergeCell ref="C434:C434"/>
    <mergeCell ref="F434:F434"/>
    <mergeCell ref="G434:G434"/>
    <mergeCell ref="H434:H434"/>
    <mergeCell ref="M434:M434"/>
    <mergeCell ref="N434:N434"/>
    <mergeCell ref="O434:O434"/>
    <mergeCell ref="P434:P434"/>
    <mergeCell ref="Q434:Q434"/>
    <mergeCell ref="R434:R434"/>
    <mergeCell ref="S434:S434"/>
    <mergeCell ref="X434:X434"/>
    <mergeCell ref="Y434:Y434"/>
    <mergeCell ref="Z434:Z434"/>
    <mergeCell ref="AA434:AA434"/>
    <mergeCell ref="AB434:AB434"/>
    <mergeCell ref="AC434:AC434"/>
    <mergeCell ref="AD434:AD434"/>
    <mergeCell ref="AE434:AE434"/>
    <mergeCell ref="AF434:AF434"/>
    <mergeCell ref="A435:A435"/>
    <mergeCell ref="B435:B435"/>
    <mergeCell ref="C435:C435"/>
    <mergeCell ref="F435:F435"/>
    <mergeCell ref="G435:G435"/>
    <mergeCell ref="H435:H435"/>
    <mergeCell ref="M435:M435"/>
    <mergeCell ref="N435:N435"/>
    <mergeCell ref="O435:O435"/>
    <mergeCell ref="P435:P435"/>
    <mergeCell ref="Q435:Q435"/>
    <mergeCell ref="R435:R435"/>
    <mergeCell ref="S435:S435"/>
    <mergeCell ref="X435:X435"/>
    <mergeCell ref="Y435:Y435"/>
    <mergeCell ref="Z435:Z435"/>
    <mergeCell ref="AA435:AA435"/>
    <mergeCell ref="AB435:AB435"/>
    <mergeCell ref="AC435:AC435"/>
    <mergeCell ref="AD435:AD435"/>
    <mergeCell ref="AE435:AE435"/>
    <mergeCell ref="AF435:AF435"/>
    <mergeCell ref="A436:A436"/>
    <mergeCell ref="B436:B436"/>
    <mergeCell ref="C436:C436"/>
    <mergeCell ref="F436:F436"/>
    <mergeCell ref="G436:G436"/>
    <mergeCell ref="H436:H436"/>
    <mergeCell ref="M436:M436"/>
    <mergeCell ref="N436:N436"/>
    <mergeCell ref="O436:O436"/>
    <mergeCell ref="P436:P436"/>
    <mergeCell ref="Q436:Q436"/>
    <mergeCell ref="R436:R436"/>
    <mergeCell ref="S436:S436"/>
    <mergeCell ref="X436:X436"/>
    <mergeCell ref="Y436:Y436"/>
    <mergeCell ref="Z436:Z436"/>
    <mergeCell ref="AA436:AA436"/>
    <mergeCell ref="AB436:AB436"/>
    <mergeCell ref="AC436:AC436"/>
    <mergeCell ref="AD436:AD436"/>
    <mergeCell ref="AE436:AE436"/>
    <mergeCell ref="AF436:AF436"/>
    <mergeCell ref="A437:A437"/>
    <mergeCell ref="B437:B437"/>
    <mergeCell ref="C437:C437"/>
    <mergeCell ref="F437:F437"/>
    <mergeCell ref="G437:G437"/>
    <mergeCell ref="H437:H437"/>
    <mergeCell ref="M437:M437"/>
    <mergeCell ref="N437:N437"/>
    <mergeCell ref="O437:O437"/>
    <mergeCell ref="P437:P437"/>
    <mergeCell ref="Q437:Q437"/>
    <mergeCell ref="R437:R437"/>
    <mergeCell ref="S437:S437"/>
    <mergeCell ref="X437:X437"/>
    <mergeCell ref="Y437:Y437"/>
    <mergeCell ref="Z437:Z437"/>
    <mergeCell ref="AA437:AA437"/>
    <mergeCell ref="AB437:AB437"/>
    <mergeCell ref="AC437:AC437"/>
    <mergeCell ref="AD437:AD437"/>
    <mergeCell ref="AE437:AE437"/>
    <mergeCell ref="AF437:AF437"/>
    <mergeCell ref="A438:A438"/>
    <mergeCell ref="B438:B438"/>
    <mergeCell ref="C438:C438"/>
    <mergeCell ref="F438:F438"/>
    <mergeCell ref="G438:G438"/>
    <mergeCell ref="H438:H438"/>
    <mergeCell ref="M438:M438"/>
    <mergeCell ref="N438:N438"/>
    <mergeCell ref="O438:O438"/>
    <mergeCell ref="P438:P438"/>
    <mergeCell ref="Q438:Q438"/>
    <mergeCell ref="R438:R438"/>
    <mergeCell ref="S438:S438"/>
    <mergeCell ref="X438:X438"/>
    <mergeCell ref="Y438:Y438"/>
    <mergeCell ref="Z438:Z438"/>
    <mergeCell ref="AA438:AA438"/>
    <mergeCell ref="AB438:AB438"/>
    <mergeCell ref="AC438:AC438"/>
    <mergeCell ref="AD438:AD438"/>
    <mergeCell ref="AE438:AE438"/>
    <mergeCell ref="AF438:AF438"/>
    <mergeCell ref="A439:A439"/>
    <mergeCell ref="B439:B439"/>
    <mergeCell ref="C439:C439"/>
    <mergeCell ref="F439:F439"/>
    <mergeCell ref="G439:G439"/>
    <mergeCell ref="H439:H439"/>
    <mergeCell ref="M439:M439"/>
    <mergeCell ref="N439:N439"/>
    <mergeCell ref="O439:O439"/>
    <mergeCell ref="P439:P439"/>
    <mergeCell ref="Q439:Q439"/>
    <mergeCell ref="R439:R439"/>
    <mergeCell ref="S439:S439"/>
    <mergeCell ref="X439:X439"/>
    <mergeCell ref="Y439:Y439"/>
    <mergeCell ref="Z439:Z439"/>
    <mergeCell ref="AA439:AA439"/>
    <mergeCell ref="AB439:AB439"/>
    <mergeCell ref="AC439:AC439"/>
    <mergeCell ref="AD439:AD439"/>
    <mergeCell ref="AE439:AE439"/>
    <mergeCell ref="AF439:AF439"/>
    <mergeCell ref="A440:A440"/>
    <mergeCell ref="B440:B440"/>
    <mergeCell ref="C440:C440"/>
    <mergeCell ref="F440:F440"/>
    <mergeCell ref="G440:G440"/>
    <mergeCell ref="H440:H440"/>
    <mergeCell ref="M440:M440"/>
    <mergeCell ref="N440:N440"/>
    <mergeCell ref="O440:O440"/>
    <mergeCell ref="P440:P440"/>
    <mergeCell ref="Q440:Q440"/>
    <mergeCell ref="R440:R440"/>
    <mergeCell ref="S440:S440"/>
    <mergeCell ref="X440:X440"/>
    <mergeCell ref="Y440:Y440"/>
    <mergeCell ref="Z440:Z440"/>
    <mergeCell ref="AA440:AA440"/>
    <mergeCell ref="AB440:AB440"/>
    <mergeCell ref="AC440:AC440"/>
    <mergeCell ref="AD440:AD440"/>
    <mergeCell ref="AE440:AE440"/>
    <mergeCell ref="AF440:AF440"/>
    <mergeCell ref="A441:A441"/>
    <mergeCell ref="B441:B441"/>
    <mergeCell ref="C441:C441"/>
    <mergeCell ref="F441:F441"/>
    <mergeCell ref="G441:G441"/>
    <mergeCell ref="H441:H441"/>
    <mergeCell ref="M441:M441"/>
    <mergeCell ref="N441:N441"/>
    <mergeCell ref="O441:O441"/>
    <mergeCell ref="P441:P441"/>
    <mergeCell ref="Q441:Q441"/>
    <mergeCell ref="R441:R441"/>
    <mergeCell ref="S441:S441"/>
    <mergeCell ref="X441:X441"/>
    <mergeCell ref="Y441:Y441"/>
    <mergeCell ref="Z441:Z441"/>
    <mergeCell ref="AA441:AA441"/>
    <mergeCell ref="AB441:AB441"/>
    <mergeCell ref="AC441:AC441"/>
    <mergeCell ref="AD441:AD441"/>
    <mergeCell ref="AE441:AE441"/>
    <mergeCell ref="AF441:AF441"/>
    <mergeCell ref="A442:A442"/>
    <mergeCell ref="B442:B442"/>
    <mergeCell ref="C442:C442"/>
    <mergeCell ref="F442:F442"/>
    <mergeCell ref="G442:G442"/>
    <mergeCell ref="H442:H442"/>
    <mergeCell ref="M442:M442"/>
    <mergeCell ref="N442:N442"/>
    <mergeCell ref="O442:O442"/>
    <mergeCell ref="P442:P442"/>
    <mergeCell ref="Q442:Q442"/>
    <mergeCell ref="R442:R442"/>
    <mergeCell ref="S442:S442"/>
    <mergeCell ref="X442:X442"/>
    <mergeCell ref="Y442:Y442"/>
    <mergeCell ref="Z442:Z442"/>
    <mergeCell ref="AA442:AA442"/>
    <mergeCell ref="AB442:AB442"/>
    <mergeCell ref="AC442:AC442"/>
    <mergeCell ref="AD442:AD442"/>
    <mergeCell ref="AE442:AE442"/>
    <mergeCell ref="AF442:AF442"/>
    <mergeCell ref="A443:A443"/>
    <mergeCell ref="B443:B443"/>
    <mergeCell ref="C443:C443"/>
    <mergeCell ref="F443:F443"/>
    <mergeCell ref="G443:G443"/>
    <mergeCell ref="H443:H443"/>
    <mergeCell ref="M443:M443"/>
    <mergeCell ref="N443:N443"/>
    <mergeCell ref="O443:O443"/>
    <mergeCell ref="P443:P443"/>
    <mergeCell ref="Q443:Q443"/>
    <mergeCell ref="R443:R443"/>
    <mergeCell ref="S443:S443"/>
    <mergeCell ref="X443:X443"/>
    <mergeCell ref="Y443:Y443"/>
    <mergeCell ref="Z443:Z443"/>
    <mergeCell ref="AA443:AA443"/>
    <mergeCell ref="AB443:AB443"/>
    <mergeCell ref="AC443:AC443"/>
    <mergeCell ref="AD443:AD443"/>
    <mergeCell ref="AE443:AE443"/>
    <mergeCell ref="AF443:AF443"/>
    <mergeCell ref="A444:A444"/>
    <mergeCell ref="B444:B444"/>
    <mergeCell ref="C444:C444"/>
    <mergeCell ref="F444:F444"/>
    <mergeCell ref="G444:G444"/>
    <mergeCell ref="H444:H444"/>
    <mergeCell ref="M444:M444"/>
    <mergeCell ref="N444:N444"/>
    <mergeCell ref="O444:O444"/>
    <mergeCell ref="P444:P444"/>
    <mergeCell ref="Q444:Q444"/>
    <mergeCell ref="R444:R444"/>
    <mergeCell ref="S444:S444"/>
    <mergeCell ref="X444:X444"/>
    <mergeCell ref="Y444:Y444"/>
    <mergeCell ref="Z444:Z444"/>
    <mergeCell ref="AA444:AA444"/>
    <mergeCell ref="AB444:AB444"/>
    <mergeCell ref="AC444:AC444"/>
    <mergeCell ref="AD444:AD444"/>
    <mergeCell ref="AE444:AE444"/>
    <mergeCell ref="AF444:AF444"/>
    <mergeCell ref="A445:A445"/>
    <mergeCell ref="B445:B445"/>
    <mergeCell ref="C445:C445"/>
    <mergeCell ref="F445:F445"/>
    <mergeCell ref="G445:G445"/>
    <mergeCell ref="H445:H445"/>
    <mergeCell ref="M445:M445"/>
    <mergeCell ref="N445:N445"/>
    <mergeCell ref="O445:O445"/>
    <mergeCell ref="P445:P445"/>
    <mergeCell ref="Q445:Q445"/>
    <mergeCell ref="R445:R445"/>
    <mergeCell ref="S445:S445"/>
    <mergeCell ref="X445:X445"/>
    <mergeCell ref="Y445:Y445"/>
    <mergeCell ref="Z445:Z445"/>
    <mergeCell ref="AA445:AA445"/>
    <mergeCell ref="AB445:AB445"/>
    <mergeCell ref="AC445:AC445"/>
    <mergeCell ref="AD445:AD445"/>
    <mergeCell ref="AE445:AE445"/>
    <mergeCell ref="AF445:AF445"/>
    <mergeCell ref="A446:A446"/>
    <mergeCell ref="B446:B446"/>
    <mergeCell ref="C446:C446"/>
    <mergeCell ref="F446:F446"/>
    <mergeCell ref="G446:G446"/>
    <mergeCell ref="H446:H446"/>
    <mergeCell ref="M446:M446"/>
    <mergeCell ref="N446:N446"/>
    <mergeCell ref="O446:O446"/>
    <mergeCell ref="P446:P446"/>
    <mergeCell ref="Q446:Q446"/>
    <mergeCell ref="R446:R446"/>
    <mergeCell ref="S446:S446"/>
    <mergeCell ref="X446:X446"/>
    <mergeCell ref="Y446:Y446"/>
    <mergeCell ref="Z446:Z446"/>
    <mergeCell ref="AA446:AA446"/>
    <mergeCell ref="AB446:AB446"/>
    <mergeCell ref="AC446:AC446"/>
    <mergeCell ref="AD446:AD446"/>
    <mergeCell ref="AE446:AE446"/>
    <mergeCell ref="AF446:AF446"/>
    <mergeCell ref="A447:A447"/>
    <mergeCell ref="B447:B447"/>
    <mergeCell ref="C447:C447"/>
    <mergeCell ref="F447:F447"/>
    <mergeCell ref="G447:G447"/>
    <mergeCell ref="H447:H447"/>
    <mergeCell ref="M447:M447"/>
    <mergeCell ref="N447:N447"/>
    <mergeCell ref="O447:O447"/>
    <mergeCell ref="P447:P447"/>
    <mergeCell ref="Q447:Q447"/>
    <mergeCell ref="R447:R447"/>
    <mergeCell ref="S447:S447"/>
    <mergeCell ref="X447:X447"/>
    <mergeCell ref="Y447:Y447"/>
    <mergeCell ref="Z447:Z447"/>
    <mergeCell ref="AA447:AA447"/>
    <mergeCell ref="AB447:AB447"/>
    <mergeCell ref="AC447:AC447"/>
    <mergeCell ref="AD447:AD447"/>
    <mergeCell ref="AE447:AE447"/>
    <mergeCell ref="AF447:AF447"/>
    <mergeCell ref="A448:A448"/>
    <mergeCell ref="B448:B448"/>
    <mergeCell ref="C448:C448"/>
    <mergeCell ref="F448:F448"/>
    <mergeCell ref="G448:G448"/>
    <mergeCell ref="H448:H448"/>
    <mergeCell ref="M448:M448"/>
    <mergeCell ref="N448:N448"/>
    <mergeCell ref="O448:O448"/>
    <mergeCell ref="P448:P448"/>
    <mergeCell ref="Q448:Q448"/>
    <mergeCell ref="R448:R448"/>
    <mergeCell ref="S448:S448"/>
    <mergeCell ref="X448:X448"/>
    <mergeCell ref="Y448:Y448"/>
    <mergeCell ref="Z448:Z448"/>
    <mergeCell ref="AA448:AA448"/>
    <mergeCell ref="AB448:AB448"/>
    <mergeCell ref="AC448:AC448"/>
    <mergeCell ref="AD448:AD448"/>
    <mergeCell ref="AE448:AE448"/>
    <mergeCell ref="AF448:AF448"/>
    <mergeCell ref="A449:A449"/>
    <mergeCell ref="B449:B449"/>
    <mergeCell ref="C449:C449"/>
    <mergeCell ref="F449:F449"/>
    <mergeCell ref="G449:G449"/>
    <mergeCell ref="H449:H449"/>
    <mergeCell ref="M449:M449"/>
    <mergeCell ref="N449:N449"/>
    <mergeCell ref="O449:O449"/>
    <mergeCell ref="P449:P449"/>
    <mergeCell ref="Q449:Q449"/>
    <mergeCell ref="R449:R449"/>
    <mergeCell ref="S449:S449"/>
    <mergeCell ref="X449:X449"/>
    <mergeCell ref="Y449:Y449"/>
    <mergeCell ref="Z449:Z449"/>
    <mergeCell ref="AA449:AA449"/>
    <mergeCell ref="AB449:AB449"/>
    <mergeCell ref="AC449:AC449"/>
    <mergeCell ref="AD449:AD449"/>
    <mergeCell ref="AE449:AE449"/>
    <mergeCell ref="AF449:AF449"/>
    <mergeCell ref="A450:A450"/>
    <mergeCell ref="B450:B450"/>
    <mergeCell ref="C450:C450"/>
    <mergeCell ref="F450:F450"/>
    <mergeCell ref="G450:G450"/>
    <mergeCell ref="H450:H450"/>
    <mergeCell ref="M450:M450"/>
    <mergeCell ref="N450:N450"/>
    <mergeCell ref="O450:O450"/>
    <mergeCell ref="P450:P450"/>
    <mergeCell ref="Q450:Q450"/>
    <mergeCell ref="R450:R450"/>
    <mergeCell ref="S450:S450"/>
    <mergeCell ref="X450:X450"/>
    <mergeCell ref="Y450:Y450"/>
    <mergeCell ref="Z450:Z450"/>
    <mergeCell ref="AA450:AA450"/>
    <mergeCell ref="AB450:AB450"/>
    <mergeCell ref="AC450:AC450"/>
    <mergeCell ref="AD450:AD450"/>
    <mergeCell ref="AE450:AE450"/>
    <mergeCell ref="AF450:AF450"/>
    <mergeCell ref="A451:A451"/>
    <mergeCell ref="B451:B451"/>
    <mergeCell ref="C451:C451"/>
    <mergeCell ref="F451:F451"/>
    <mergeCell ref="G451:G451"/>
    <mergeCell ref="H451:H451"/>
    <mergeCell ref="M451:M451"/>
    <mergeCell ref="N451:N451"/>
    <mergeCell ref="O451:O451"/>
    <mergeCell ref="P451:P451"/>
    <mergeCell ref="Q451:Q451"/>
    <mergeCell ref="R451:R451"/>
    <mergeCell ref="S451:S451"/>
    <mergeCell ref="X451:X451"/>
    <mergeCell ref="Y451:Y451"/>
    <mergeCell ref="Z451:Z451"/>
    <mergeCell ref="AA451:AA451"/>
    <mergeCell ref="AB451:AB451"/>
    <mergeCell ref="AC451:AC451"/>
    <mergeCell ref="AD451:AD451"/>
    <mergeCell ref="AE451:AE451"/>
    <mergeCell ref="AF451:AF451"/>
    <mergeCell ref="A452:A452"/>
    <mergeCell ref="B452:B452"/>
    <mergeCell ref="C452:C452"/>
    <mergeCell ref="F452:F452"/>
    <mergeCell ref="G452:G452"/>
    <mergeCell ref="H452:H452"/>
    <mergeCell ref="M452:M452"/>
    <mergeCell ref="N452:N452"/>
    <mergeCell ref="O452:O452"/>
    <mergeCell ref="P452:P452"/>
    <mergeCell ref="Q452:Q452"/>
    <mergeCell ref="R452:R452"/>
    <mergeCell ref="S452:S452"/>
    <mergeCell ref="X452:X452"/>
    <mergeCell ref="Y452:Y452"/>
    <mergeCell ref="Z452:Z452"/>
    <mergeCell ref="AA452:AA452"/>
    <mergeCell ref="AB452:AB452"/>
    <mergeCell ref="AC452:AC452"/>
    <mergeCell ref="AD452:AD452"/>
    <mergeCell ref="AE452:AE452"/>
    <mergeCell ref="AF452:AF452"/>
    <mergeCell ref="A453:A453"/>
    <mergeCell ref="B453:B453"/>
    <mergeCell ref="C453:C453"/>
    <mergeCell ref="F453:F453"/>
    <mergeCell ref="G453:G453"/>
    <mergeCell ref="H453:H453"/>
    <mergeCell ref="M453:M453"/>
    <mergeCell ref="N453:N453"/>
    <mergeCell ref="O453:O453"/>
    <mergeCell ref="P453:P453"/>
    <mergeCell ref="Q453:Q453"/>
    <mergeCell ref="R453:R453"/>
    <mergeCell ref="S453:S453"/>
    <mergeCell ref="X453:X453"/>
    <mergeCell ref="Y453:Y453"/>
    <mergeCell ref="Z453:Z453"/>
    <mergeCell ref="AA453:AA453"/>
    <mergeCell ref="AB453:AB453"/>
    <mergeCell ref="AC453:AC453"/>
    <mergeCell ref="AD453:AD453"/>
    <mergeCell ref="AE453:AE453"/>
    <mergeCell ref="AF453:AF453"/>
    <mergeCell ref="A454:A454"/>
    <mergeCell ref="B454:B454"/>
    <mergeCell ref="C454:C454"/>
    <mergeCell ref="F454:F454"/>
    <mergeCell ref="G454:G454"/>
    <mergeCell ref="H454:H454"/>
    <mergeCell ref="M454:M454"/>
    <mergeCell ref="N454:N454"/>
    <mergeCell ref="O454:O454"/>
    <mergeCell ref="P454:P454"/>
    <mergeCell ref="Q454:Q454"/>
    <mergeCell ref="R454:R454"/>
    <mergeCell ref="S454:S454"/>
    <mergeCell ref="X454:X454"/>
    <mergeCell ref="Y454:Y454"/>
    <mergeCell ref="Z454:Z454"/>
    <mergeCell ref="AA454:AA454"/>
    <mergeCell ref="AB454:AB454"/>
    <mergeCell ref="AC454:AC454"/>
    <mergeCell ref="AD454:AD454"/>
    <mergeCell ref="AE454:AE454"/>
    <mergeCell ref="AF454:AF454"/>
    <mergeCell ref="A455:A455"/>
    <mergeCell ref="B455:B455"/>
    <mergeCell ref="C455:C455"/>
    <mergeCell ref="F455:F455"/>
    <mergeCell ref="G455:G455"/>
    <mergeCell ref="H455:H455"/>
    <mergeCell ref="M455:M455"/>
    <mergeCell ref="N455:N455"/>
    <mergeCell ref="O455:O455"/>
    <mergeCell ref="P455:P455"/>
    <mergeCell ref="Q455:Q455"/>
    <mergeCell ref="R455:R455"/>
    <mergeCell ref="S455:S455"/>
    <mergeCell ref="X455:X455"/>
    <mergeCell ref="Y455:Y455"/>
    <mergeCell ref="Z455:Z455"/>
    <mergeCell ref="AA455:AA455"/>
    <mergeCell ref="AB455:AB455"/>
    <mergeCell ref="AC455:AC455"/>
    <mergeCell ref="AD455:AD455"/>
    <mergeCell ref="AE455:AE455"/>
    <mergeCell ref="AF455:AF455"/>
    <mergeCell ref="A456:A456"/>
    <mergeCell ref="B456:B456"/>
    <mergeCell ref="C456:C456"/>
    <mergeCell ref="F456:F456"/>
    <mergeCell ref="G456:G456"/>
    <mergeCell ref="H456:H456"/>
    <mergeCell ref="M456:M456"/>
    <mergeCell ref="N456:N456"/>
    <mergeCell ref="O456:O456"/>
    <mergeCell ref="P456:P456"/>
    <mergeCell ref="Q456:Q456"/>
    <mergeCell ref="R456:R456"/>
    <mergeCell ref="S456:S456"/>
    <mergeCell ref="X456:X456"/>
    <mergeCell ref="Y456:Y456"/>
    <mergeCell ref="Z456:Z456"/>
    <mergeCell ref="AA456:AA456"/>
    <mergeCell ref="AB456:AB456"/>
    <mergeCell ref="AC456:AC456"/>
    <mergeCell ref="AD456:AD456"/>
    <mergeCell ref="AE456:AE456"/>
    <mergeCell ref="AF456:AF456"/>
    <mergeCell ref="A457:A457"/>
    <mergeCell ref="B457:B457"/>
    <mergeCell ref="C457:C457"/>
    <mergeCell ref="F457:F457"/>
    <mergeCell ref="G457:G457"/>
    <mergeCell ref="H457:H457"/>
    <mergeCell ref="M457:M457"/>
    <mergeCell ref="N457:N457"/>
    <mergeCell ref="O457:O457"/>
    <mergeCell ref="P457:P457"/>
    <mergeCell ref="Q457:Q457"/>
    <mergeCell ref="R457:R457"/>
    <mergeCell ref="S457:S457"/>
    <mergeCell ref="X457:X457"/>
    <mergeCell ref="Y457:Y457"/>
    <mergeCell ref="Z457:Z457"/>
    <mergeCell ref="AA457:AA457"/>
    <mergeCell ref="AB457:AB457"/>
    <mergeCell ref="AC457:AC457"/>
    <mergeCell ref="AD457:AD457"/>
    <mergeCell ref="AE457:AE457"/>
    <mergeCell ref="AF457:AF457"/>
    <mergeCell ref="A458:A458"/>
    <mergeCell ref="B458:B458"/>
    <mergeCell ref="C458:C458"/>
    <mergeCell ref="F458:F458"/>
    <mergeCell ref="G458:G458"/>
    <mergeCell ref="H458:H458"/>
    <mergeCell ref="M458:M458"/>
    <mergeCell ref="N458:N458"/>
    <mergeCell ref="O458:O458"/>
    <mergeCell ref="P458:P458"/>
    <mergeCell ref="Q458:Q458"/>
    <mergeCell ref="R458:R458"/>
    <mergeCell ref="S458:S458"/>
    <mergeCell ref="X458:X458"/>
    <mergeCell ref="Y458:Y458"/>
    <mergeCell ref="Z458:Z458"/>
    <mergeCell ref="AA458:AA458"/>
    <mergeCell ref="AB458:AB458"/>
    <mergeCell ref="AC458:AC458"/>
    <mergeCell ref="AD458:AD458"/>
    <mergeCell ref="AE458:AE458"/>
    <mergeCell ref="AF458:AF458"/>
    <mergeCell ref="A459:A459"/>
    <mergeCell ref="B459:B459"/>
    <mergeCell ref="C459:C459"/>
    <mergeCell ref="F459:F459"/>
    <mergeCell ref="G459:G459"/>
    <mergeCell ref="H459:H459"/>
    <mergeCell ref="M459:M459"/>
    <mergeCell ref="N459:N459"/>
    <mergeCell ref="O459:O459"/>
    <mergeCell ref="P459:P459"/>
    <mergeCell ref="Q459:Q459"/>
    <mergeCell ref="R459:R459"/>
    <mergeCell ref="S459:S459"/>
    <mergeCell ref="X459:X459"/>
    <mergeCell ref="Y459:Y459"/>
    <mergeCell ref="Z459:Z459"/>
    <mergeCell ref="AA459:AA459"/>
    <mergeCell ref="AB459:AB459"/>
    <mergeCell ref="AC459:AC459"/>
    <mergeCell ref="AD459:AD459"/>
    <mergeCell ref="AE459:AE459"/>
    <mergeCell ref="AF459:AF459"/>
    <mergeCell ref="A460:A460"/>
    <mergeCell ref="B460:B460"/>
    <mergeCell ref="C460:C460"/>
    <mergeCell ref="F460:F460"/>
    <mergeCell ref="G460:G460"/>
    <mergeCell ref="H460:H460"/>
    <mergeCell ref="M460:M460"/>
    <mergeCell ref="N460:N460"/>
    <mergeCell ref="O460:O460"/>
    <mergeCell ref="P460:P460"/>
    <mergeCell ref="Q460:Q460"/>
    <mergeCell ref="R460:R460"/>
    <mergeCell ref="S460:S460"/>
    <mergeCell ref="X460:X460"/>
    <mergeCell ref="Y460:Y460"/>
    <mergeCell ref="Z460:Z460"/>
    <mergeCell ref="AA460:AA460"/>
    <mergeCell ref="AB460:AB460"/>
    <mergeCell ref="AC460:AC460"/>
    <mergeCell ref="AD460:AD460"/>
    <mergeCell ref="AE460:AE460"/>
    <mergeCell ref="AF460:AF460"/>
    <mergeCell ref="A461:A461"/>
    <mergeCell ref="B461:B461"/>
    <mergeCell ref="C461:C461"/>
    <mergeCell ref="F461:F461"/>
    <mergeCell ref="G461:G461"/>
    <mergeCell ref="H461:H461"/>
    <mergeCell ref="M461:M461"/>
    <mergeCell ref="N461:N461"/>
    <mergeCell ref="O461:O461"/>
    <mergeCell ref="P461:P461"/>
    <mergeCell ref="Q461:Q461"/>
    <mergeCell ref="R461:R461"/>
    <mergeCell ref="S461:S461"/>
    <mergeCell ref="X461:X461"/>
    <mergeCell ref="Y461:Y461"/>
    <mergeCell ref="Z461:Z461"/>
    <mergeCell ref="AA461:AA461"/>
    <mergeCell ref="AB461:AB461"/>
    <mergeCell ref="AC461:AC461"/>
    <mergeCell ref="AD461:AD461"/>
    <mergeCell ref="AE461:AE461"/>
    <mergeCell ref="AF461:AF461"/>
    <mergeCell ref="A462:A462"/>
    <mergeCell ref="B462:B462"/>
    <mergeCell ref="C462:C462"/>
    <mergeCell ref="F462:F462"/>
    <mergeCell ref="G462:G462"/>
    <mergeCell ref="H462:H462"/>
    <mergeCell ref="M462:M462"/>
    <mergeCell ref="N462:N462"/>
    <mergeCell ref="O462:O462"/>
    <mergeCell ref="P462:P462"/>
    <mergeCell ref="Q462:Q462"/>
    <mergeCell ref="R462:R462"/>
    <mergeCell ref="S462:S462"/>
    <mergeCell ref="X462:X462"/>
    <mergeCell ref="Y462:Y462"/>
    <mergeCell ref="Z462:Z462"/>
    <mergeCell ref="AA462:AA462"/>
    <mergeCell ref="AB462:AB462"/>
    <mergeCell ref="AC462:AC462"/>
    <mergeCell ref="AD462:AD462"/>
    <mergeCell ref="AE462:AE462"/>
    <mergeCell ref="AF462:AF462"/>
    <mergeCell ref="A463:A463"/>
    <mergeCell ref="B463:B463"/>
    <mergeCell ref="C463:C463"/>
    <mergeCell ref="F463:F463"/>
    <mergeCell ref="G463:G463"/>
    <mergeCell ref="H463:H463"/>
    <mergeCell ref="M463:M463"/>
    <mergeCell ref="N463:N463"/>
    <mergeCell ref="O463:O463"/>
    <mergeCell ref="P463:P463"/>
    <mergeCell ref="Q463:Q463"/>
    <mergeCell ref="R463:R463"/>
    <mergeCell ref="S463:S463"/>
    <mergeCell ref="X463:X463"/>
    <mergeCell ref="Y463:Y463"/>
    <mergeCell ref="Z463:Z463"/>
    <mergeCell ref="AA463:AA463"/>
    <mergeCell ref="AB463:AB463"/>
    <mergeCell ref="AC463:AC463"/>
    <mergeCell ref="AD463:AD463"/>
    <mergeCell ref="AE463:AE463"/>
    <mergeCell ref="AF463:AF463"/>
    <mergeCell ref="A464:A464"/>
    <mergeCell ref="B464:B464"/>
    <mergeCell ref="C464:C464"/>
    <mergeCell ref="F464:F464"/>
    <mergeCell ref="G464:G464"/>
    <mergeCell ref="H464:H464"/>
    <mergeCell ref="M464:M464"/>
    <mergeCell ref="N464:N464"/>
    <mergeCell ref="O464:O464"/>
    <mergeCell ref="P464:P464"/>
    <mergeCell ref="Q464:Q464"/>
    <mergeCell ref="R464:R464"/>
    <mergeCell ref="S464:S464"/>
    <mergeCell ref="X464:X464"/>
    <mergeCell ref="Y464:Y464"/>
    <mergeCell ref="Z464:Z464"/>
    <mergeCell ref="AA464:AA464"/>
    <mergeCell ref="AB464:AB464"/>
    <mergeCell ref="AC464:AC464"/>
    <mergeCell ref="AD464:AD464"/>
    <mergeCell ref="AE464:AE464"/>
    <mergeCell ref="AF464:AF464"/>
    <mergeCell ref="A465:A465"/>
    <mergeCell ref="B465:B465"/>
    <mergeCell ref="C465:C465"/>
    <mergeCell ref="F465:F465"/>
    <mergeCell ref="G465:G465"/>
    <mergeCell ref="H465:H465"/>
    <mergeCell ref="M465:M465"/>
    <mergeCell ref="N465:N465"/>
    <mergeCell ref="O465:O465"/>
    <mergeCell ref="P465:P465"/>
    <mergeCell ref="Q465:Q465"/>
    <mergeCell ref="R465:R465"/>
    <mergeCell ref="S465:S465"/>
    <mergeCell ref="X465:X465"/>
    <mergeCell ref="Y465:Y465"/>
    <mergeCell ref="Z465:Z465"/>
    <mergeCell ref="AA465:AA465"/>
    <mergeCell ref="AB465:AB465"/>
    <mergeCell ref="AC465:AC465"/>
    <mergeCell ref="AD465:AD465"/>
    <mergeCell ref="AE465:AE465"/>
    <mergeCell ref="AF465:AF465"/>
    <mergeCell ref="A466:A466"/>
    <mergeCell ref="B466:B466"/>
    <mergeCell ref="C466:C466"/>
    <mergeCell ref="F466:F466"/>
    <mergeCell ref="G466:G466"/>
    <mergeCell ref="H466:H466"/>
    <mergeCell ref="M466:M466"/>
    <mergeCell ref="N466:N466"/>
    <mergeCell ref="O466:O466"/>
    <mergeCell ref="P466:P466"/>
    <mergeCell ref="Q466:Q466"/>
    <mergeCell ref="R466:R466"/>
    <mergeCell ref="S466:S466"/>
    <mergeCell ref="X466:X466"/>
    <mergeCell ref="Y466:Y466"/>
    <mergeCell ref="Z466:Z466"/>
    <mergeCell ref="AA466:AA466"/>
    <mergeCell ref="AB466:AB466"/>
    <mergeCell ref="AC466:AC466"/>
    <mergeCell ref="AD466:AD466"/>
    <mergeCell ref="AE466:AE466"/>
    <mergeCell ref="AF466:AF466"/>
    <mergeCell ref="A467:A467"/>
    <mergeCell ref="B467:B467"/>
    <mergeCell ref="C467:C467"/>
    <mergeCell ref="F467:F467"/>
    <mergeCell ref="G467:G467"/>
    <mergeCell ref="H467:H467"/>
    <mergeCell ref="M467:M467"/>
    <mergeCell ref="N467:N467"/>
    <mergeCell ref="O467:O467"/>
    <mergeCell ref="P467:P467"/>
    <mergeCell ref="Q467:Q467"/>
    <mergeCell ref="R467:R467"/>
    <mergeCell ref="S467:S467"/>
    <mergeCell ref="X467:X467"/>
    <mergeCell ref="Y467:Y467"/>
    <mergeCell ref="Z467:Z467"/>
    <mergeCell ref="AA467:AA467"/>
    <mergeCell ref="AB467:AB467"/>
    <mergeCell ref="AC467:AC467"/>
    <mergeCell ref="AD467:AD467"/>
    <mergeCell ref="AE467:AE467"/>
    <mergeCell ref="AF467:AF467"/>
    <mergeCell ref="A468:A468"/>
    <mergeCell ref="B468:B468"/>
    <mergeCell ref="C468:C468"/>
    <mergeCell ref="F468:F468"/>
    <mergeCell ref="G468:G468"/>
    <mergeCell ref="H468:H468"/>
    <mergeCell ref="M468:M468"/>
    <mergeCell ref="N468:N468"/>
    <mergeCell ref="O468:O468"/>
    <mergeCell ref="P468:P468"/>
    <mergeCell ref="Q468:Q468"/>
    <mergeCell ref="R468:R468"/>
    <mergeCell ref="S468:S468"/>
    <mergeCell ref="X468:X468"/>
    <mergeCell ref="Y468:Y468"/>
    <mergeCell ref="Z468:Z468"/>
    <mergeCell ref="AA468:AA468"/>
    <mergeCell ref="AB468:AB468"/>
    <mergeCell ref="AC468:AC468"/>
    <mergeCell ref="AD468:AD468"/>
    <mergeCell ref="AE468:AE468"/>
    <mergeCell ref="AF468:AF468"/>
    <mergeCell ref="A469:A469"/>
    <mergeCell ref="B469:B469"/>
    <mergeCell ref="C469:C469"/>
    <mergeCell ref="F469:F469"/>
    <mergeCell ref="G469:G469"/>
    <mergeCell ref="H469:H469"/>
    <mergeCell ref="M469:M469"/>
    <mergeCell ref="N469:N469"/>
    <mergeCell ref="O469:O469"/>
    <mergeCell ref="P469:P469"/>
    <mergeCell ref="Q469:Q469"/>
    <mergeCell ref="R469:R469"/>
    <mergeCell ref="S469:S469"/>
    <mergeCell ref="X469:X469"/>
    <mergeCell ref="Y469:Y469"/>
    <mergeCell ref="Z469:Z469"/>
    <mergeCell ref="AA469:AA469"/>
    <mergeCell ref="AB469:AB469"/>
    <mergeCell ref="AC469:AC469"/>
    <mergeCell ref="AD469:AD469"/>
    <mergeCell ref="AE469:AE469"/>
    <mergeCell ref="AF469:AF469"/>
    <mergeCell ref="A470:A470"/>
    <mergeCell ref="B470:B470"/>
    <mergeCell ref="C470:C470"/>
    <mergeCell ref="F470:F470"/>
    <mergeCell ref="G470:G470"/>
    <mergeCell ref="H470:H470"/>
    <mergeCell ref="M470:M470"/>
    <mergeCell ref="N470:N470"/>
    <mergeCell ref="O470:O470"/>
    <mergeCell ref="P470:P470"/>
    <mergeCell ref="Q470:Q470"/>
    <mergeCell ref="R470:R470"/>
    <mergeCell ref="S470:S470"/>
    <mergeCell ref="X470:X470"/>
    <mergeCell ref="Y470:Y470"/>
    <mergeCell ref="Z470:Z470"/>
    <mergeCell ref="AA470:AA470"/>
    <mergeCell ref="AB470:AB470"/>
    <mergeCell ref="AC470:AC470"/>
    <mergeCell ref="AD470:AD470"/>
    <mergeCell ref="AE470:AE470"/>
    <mergeCell ref="AF470:AF470"/>
    <mergeCell ref="A471:A471"/>
    <mergeCell ref="B471:B471"/>
    <mergeCell ref="C471:C471"/>
    <mergeCell ref="F471:F471"/>
    <mergeCell ref="G471:G471"/>
    <mergeCell ref="H471:H471"/>
    <mergeCell ref="M471:M471"/>
    <mergeCell ref="N471:N471"/>
    <mergeCell ref="O471:O471"/>
    <mergeCell ref="P471:P471"/>
    <mergeCell ref="Q471:Q471"/>
    <mergeCell ref="R471:R471"/>
    <mergeCell ref="S471:S471"/>
    <mergeCell ref="X471:X471"/>
    <mergeCell ref="Y471:Y471"/>
    <mergeCell ref="Z471:Z471"/>
    <mergeCell ref="AA471:AA471"/>
    <mergeCell ref="AB471:AB471"/>
    <mergeCell ref="AC471:AC471"/>
    <mergeCell ref="AD471:AD471"/>
    <mergeCell ref="AE471:AE471"/>
    <mergeCell ref="AF471:AF471"/>
    <mergeCell ref="A472:A472"/>
    <mergeCell ref="B472:B472"/>
    <mergeCell ref="C472:C472"/>
    <mergeCell ref="F472:F472"/>
    <mergeCell ref="G472:G472"/>
    <mergeCell ref="H472:H472"/>
    <mergeCell ref="M472:M472"/>
    <mergeCell ref="N472:N472"/>
    <mergeCell ref="O472:O472"/>
    <mergeCell ref="P472:P472"/>
    <mergeCell ref="Q472:Q472"/>
    <mergeCell ref="R472:R472"/>
    <mergeCell ref="S472:S472"/>
    <mergeCell ref="X472:X472"/>
    <mergeCell ref="Y472:Y472"/>
    <mergeCell ref="Z472:Z472"/>
    <mergeCell ref="AA472:AA472"/>
    <mergeCell ref="AB472:AB472"/>
    <mergeCell ref="AC472:AC472"/>
    <mergeCell ref="AD472:AD472"/>
    <mergeCell ref="AE472:AE472"/>
    <mergeCell ref="AF472:AF472"/>
    <mergeCell ref="A473:A473"/>
    <mergeCell ref="B473:B473"/>
    <mergeCell ref="C473:C473"/>
    <mergeCell ref="F473:F473"/>
    <mergeCell ref="G473:G473"/>
    <mergeCell ref="H473:H473"/>
    <mergeCell ref="M473:M473"/>
    <mergeCell ref="N473:N473"/>
    <mergeCell ref="O473:O473"/>
    <mergeCell ref="P473:P473"/>
    <mergeCell ref="Q473:Q473"/>
    <mergeCell ref="R473:R473"/>
    <mergeCell ref="S473:S473"/>
    <mergeCell ref="X473:X473"/>
    <mergeCell ref="Y473:Y473"/>
    <mergeCell ref="Z473:Z473"/>
    <mergeCell ref="AA473:AA473"/>
    <mergeCell ref="AB473:AB473"/>
    <mergeCell ref="AC473:AC473"/>
    <mergeCell ref="AD473:AD473"/>
    <mergeCell ref="AE473:AE473"/>
    <mergeCell ref="AF473:AF473"/>
    <mergeCell ref="A474:A474"/>
    <mergeCell ref="B474:B474"/>
    <mergeCell ref="C474:C474"/>
    <mergeCell ref="F474:F474"/>
    <mergeCell ref="G474:G474"/>
    <mergeCell ref="H474:H474"/>
    <mergeCell ref="M474:M474"/>
    <mergeCell ref="N474:N474"/>
    <mergeCell ref="O474:O474"/>
    <mergeCell ref="P474:P474"/>
    <mergeCell ref="Q474:Q474"/>
    <mergeCell ref="R474:R474"/>
    <mergeCell ref="S474:S474"/>
    <mergeCell ref="X474:X474"/>
    <mergeCell ref="Y474:Y474"/>
    <mergeCell ref="Z474:Z474"/>
    <mergeCell ref="AA474:AA474"/>
    <mergeCell ref="AB474:AB474"/>
    <mergeCell ref="AC474:AC474"/>
    <mergeCell ref="AD474:AD474"/>
    <mergeCell ref="AE474:AE474"/>
    <mergeCell ref="AF474:AF474"/>
    <mergeCell ref="A475:A475"/>
    <mergeCell ref="B475:B475"/>
    <mergeCell ref="C475:C475"/>
    <mergeCell ref="F475:F475"/>
    <mergeCell ref="G475:G475"/>
    <mergeCell ref="H475:H475"/>
    <mergeCell ref="M475:M475"/>
    <mergeCell ref="N475:N475"/>
    <mergeCell ref="O475:O475"/>
    <mergeCell ref="P475:P475"/>
    <mergeCell ref="Q475:Q475"/>
    <mergeCell ref="R475:R475"/>
    <mergeCell ref="S475:S475"/>
    <mergeCell ref="X475:X475"/>
    <mergeCell ref="Y475:Y475"/>
    <mergeCell ref="Z475:Z475"/>
    <mergeCell ref="AA475:AA475"/>
    <mergeCell ref="AB475:AB475"/>
    <mergeCell ref="AC475:AC475"/>
    <mergeCell ref="AD475:AD475"/>
    <mergeCell ref="AE475:AE475"/>
    <mergeCell ref="AF475:AF475"/>
    <mergeCell ref="A476:A476"/>
    <mergeCell ref="B476:B476"/>
    <mergeCell ref="C476:C476"/>
    <mergeCell ref="F476:F476"/>
    <mergeCell ref="G476:G476"/>
    <mergeCell ref="H476:H476"/>
    <mergeCell ref="M476:M476"/>
    <mergeCell ref="N476:N476"/>
    <mergeCell ref="O476:O476"/>
    <mergeCell ref="P476:P476"/>
    <mergeCell ref="Q476:Q476"/>
    <mergeCell ref="R476:R476"/>
    <mergeCell ref="S476:S476"/>
    <mergeCell ref="X476:X476"/>
    <mergeCell ref="Y476:Y476"/>
    <mergeCell ref="Z476:Z476"/>
    <mergeCell ref="AA476:AA476"/>
    <mergeCell ref="AB476:AB476"/>
    <mergeCell ref="AC476:AC476"/>
    <mergeCell ref="AD476:AD476"/>
    <mergeCell ref="AE476:AE476"/>
    <mergeCell ref="AF476:AF476"/>
    <mergeCell ref="A477:A477"/>
    <mergeCell ref="B477:B477"/>
    <mergeCell ref="C477:C477"/>
    <mergeCell ref="F477:F477"/>
    <mergeCell ref="G477:G477"/>
    <mergeCell ref="H477:H477"/>
    <mergeCell ref="M477:M477"/>
    <mergeCell ref="N477:N477"/>
    <mergeCell ref="O477:O477"/>
    <mergeCell ref="P477:P477"/>
    <mergeCell ref="Q477:Q477"/>
    <mergeCell ref="R477:R477"/>
    <mergeCell ref="S477:S477"/>
    <mergeCell ref="X477:X477"/>
    <mergeCell ref="Y477:Y477"/>
    <mergeCell ref="Z477:Z477"/>
    <mergeCell ref="AA477:AA477"/>
    <mergeCell ref="AB477:AB477"/>
    <mergeCell ref="AC477:AC477"/>
    <mergeCell ref="AD477:AD477"/>
    <mergeCell ref="AE477:AE477"/>
    <mergeCell ref="AF477:AF477"/>
    <mergeCell ref="A478:A478"/>
    <mergeCell ref="B478:B478"/>
    <mergeCell ref="C478:C478"/>
    <mergeCell ref="F478:F478"/>
    <mergeCell ref="G478:G478"/>
    <mergeCell ref="H478:H478"/>
    <mergeCell ref="M478:M478"/>
    <mergeCell ref="N478:N478"/>
    <mergeCell ref="O478:O478"/>
    <mergeCell ref="P478:P478"/>
    <mergeCell ref="Q478:Q478"/>
    <mergeCell ref="R478:R478"/>
    <mergeCell ref="S478:S478"/>
    <mergeCell ref="X478:X478"/>
    <mergeCell ref="Y478:Y478"/>
    <mergeCell ref="Z478:Z478"/>
    <mergeCell ref="AA478:AA478"/>
    <mergeCell ref="AB478:AB478"/>
    <mergeCell ref="AC478:AC478"/>
    <mergeCell ref="AD478:AD478"/>
    <mergeCell ref="AE478:AE478"/>
    <mergeCell ref="AF478:AF478"/>
    <mergeCell ref="A479:A479"/>
    <mergeCell ref="B479:B479"/>
    <mergeCell ref="C479:C479"/>
    <mergeCell ref="F479:F479"/>
    <mergeCell ref="G479:G479"/>
    <mergeCell ref="H479:H479"/>
    <mergeCell ref="M479:M479"/>
    <mergeCell ref="N479:N479"/>
    <mergeCell ref="O479:O479"/>
    <mergeCell ref="P479:P479"/>
    <mergeCell ref="Q479:Q479"/>
    <mergeCell ref="R479:R479"/>
    <mergeCell ref="S479:S479"/>
    <mergeCell ref="X479:X479"/>
    <mergeCell ref="Y479:Y479"/>
    <mergeCell ref="Z479:Z479"/>
    <mergeCell ref="AA479:AA479"/>
    <mergeCell ref="AB479:AB479"/>
    <mergeCell ref="AC479:AC479"/>
    <mergeCell ref="AD479:AD479"/>
    <mergeCell ref="AE479:AE479"/>
    <mergeCell ref="AF479:AF479"/>
    <mergeCell ref="A480:A480"/>
    <mergeCell ref="B480:B480"/>
    <mergeCell ref="C480:C480"/>
    <mergeCell ref="F480:F480"/>
    <mergeCell ref="G480:G480"/>
    <mergeCell ref="H480:H480"/>
    <mergeCell ref="M480:M480"/>
    <mergeCell ref="N480:N480"/>
    <mergeCell ref="O480:O480"/>
    <mergeCell ref="P480:P480"/>
    <mergeCell ref="Q480:Q480"/>
    <mergeCell ref="R480:R480"/>
    <mergeCell ref="S480:S480"/>
    <mergeCell ref="X480:X480"/>
    <mergeCell ref="Y480:Y480"/>
    <mergeCell ref="Z480:Z480"/>
    <mergeCell ref="AA480:AA480"/>
    <mergeCell ref="AB480:AB480"/>
    <mergeCell ref="AC480:AC480"/>
    <mergeCell ref="AD480:AD480"/>
    <mergeCell ref="AE480:AE480"/>
    <mergeCell ref="AF480:AF480"/>
    <mergeCell ref="A481:A481"/>
    <mergeCell ref="B481:B481"/>
    <mergeCell ref="C481:C481"/>
    <mergeCell ref="F481:F481"/>
    <mergeCell ref="G481:G481"/>
    <mergeCell ref="H481:H481"/>
    <mergeCell ref="M481:M481"/>
    <mergeCell ref="N481:N481"/>
    <mergeCell ref="O481:O481"/>
    <mergeCell ref="P481:P481"/>
    <mergeCell ref="Q481:Q481"/>
    <mergeCell ref="R481:R481"/>
    <mergeCell ref="S481:S481"/>
    <mergeCell ref="X481:X481"/>
    <mergeCell ref="Y481:Y481"/>
    <mergeCell ref="Z481:Z481"/>
    <mergeCell ref="AA481:AA481"/>
    <mergeCell ref="AB481:AB481"/>
    <mergeCell ref="AC481:AC481"/>
    <mergeCell ref="AD481:AD481"/>
    <mergeCell ref="AE481:AE481"/>
    <mergeCell ref="AF481:AF481"/>
    <mergeCell ref="A482:A482"/>
    <mergeCell ref="B482:B482"/>
    <mergeCell ref="C482:C482"/>
    <mergeCell ref="F482:F482"/>
    <mergeCell ref="G482:G482"/>
    <mergeCell ref="H482:H482"/>
    <mergeCell ref="M482:M482"/>
    <mergeCell ref="N482:N482"/>
    <mergeCell ref="O482:O482"/>
    <mergeCell ref="P482:P482"/>
    <mergeCell ref="Q482:Q482"/>
    <mergeCell ref="R482:R482"/>
    <mergeCell ref="S482:S482"/>
    <mergeCell ref="X482:X482"/>
    <mergeCell ref="Y482:Y482"/>
    <mergeCell ref="Z482:Z482"/>
    <mergeCell ref="AA482:AA482"/>
    <mergeCell ref="AB482:AB482"/>
    <mergeCell ref="AC482:AC482"/>
    <mergeCell ref="AD482:AD482"/>
    <mergeCell ref="AE482:AE482"/>
    <mergeCell ref="AF482:AF482"/>
    <mergeCell ref="A483:A483"/>
    <mergeCell ref="B483:B483"/>
    <mergeCell ref="C483:C483"/>
    <mergeCell ref="F483:F483"/>
    <mergeCell ref="G483:G483"/>
    <mergeCell ref="H483:H483"/>
    <mergeCell ref="M483:M483"/>
    <mergeCell ref="N483:N483"/>
    <mergeCell ref="O483:O483"/>
    <mergeCell ref="P483:P483"/>
    <mergeCell ref="Q483:Q483"/>
    <mergeCell ref="R483:R483"/>
    <mergeCell ref="S483:S483"/>
    <mergeCell ref="X483:X483"/>
    <mergeCell ref="Y483:Y483"/>
    <mergeCell ref="Z483:Z483"/>
    <mergeCell ref="AA483:AA483"/>
    <mergeCell ref="AB483:AB483"/>
    <mergeCell ref="AC483:AC483"/>
    <mergeCell ref="AD483:AD483"/>
    <mergeCell ref="AE483:AE483"/>
    <mergeCell ref="AF483:AF483"/>
    <mergeCell ref="A484:A485"/>
    <mergeCell ref="B484:B485"/>
    <mergeCell ref="C484:C485"/>
    <mergeCell ref="F484:F485"/>
    <mergeCell ref="G484:G485"/>
    <mergeCell ref="H484:H485"/>
    <mergeCell ref="M484:M485"/>
    <mergeCell ref="N484:N485"/>
    <mergeCell ref="O484:O485"/>
    <mergeCell ref="P484:P485"/>
    <mergeCell ref="Q484:Q485"/>
    <mergeCell ref="R484:R485"/>
    <mergeCell ref="S484:S485"/>
    <mergeCell ref="X484:X485"/>
    <mergeCell ref="Y484:Y485"/>
    <mergeCell ref="Z484:Z485"/>
    <mergeCell ref="AA484:AA485"/>
    <mergeCell ref="AB484:AB485"/>
    <mergeCell ref="AC484:AC485"/>
    <mergeCell ref="AD484:AD485"/>
    <mergeCell ref="AE484:AE485"/>
    <mergeCell ref="AF484:AF485"/>
    <mergeCell ref="A486:A486"/>
    <mergeCell ref="B486:B486"/>
    <mergeCell ref="C486:C486"/>
    <mergeCell ref="F486:F486"/>
    <mergeCell ref="G486:G486"/>
    <mergeCell ref="H486:H486"/>
    <mergeCell ref="M486:M486"/>
    <mergeCell ref="N486:N486"/>
    <mergeCell ref="O486:O486"/>
    <mergeCell ref="P486:P486"/>
    <mergeCell ref="Q486:Q486"/>
    <mergeCell ref="R486:R486"/>
    <mergeCell ref="S486:S486"/>
    <mergeCell ref="X486:X486"/>
    <mergeCell ref="Y486:Y486"/>
    <mergeCell ref="Z486:Z486"/>
    <mergeCell ref="AA486:AA486"/>
    <mergeCell ref="AB486:AB486"/>
    <mergeCell ref="AC486:AC486"/>
    <mergeCell ref="AD486:AD486"/>
    <mergeCell ref="AE486:AE486"/>
    <mergeCell ref="AF486:AF486"/>
    <mergeCell ref="A487:A487"/>
    <mergeCell ref="B487:B487"/>
    <mergeCell ref="C487:C487"/>
    <mergeCell ref="F487:F487"/>
    <mergeCell ref="G487:G487"/>
    <mergeCell ref="H487:H487"/>
    <mergeCell ref="M487:M487"/>
    <mergeCell ref="N487:N487"/>
    <mergeCell ref="O487:O487"/>
    <mergeCell ref="P487:P487"/>
    <mergeCell ref="Q487:Q487"/>
    <mergeCell ref="R487:R487"/>
    <mergeCell ref="S487:S487"/>
    <mergeCell ref="X487:X487"/>
    <mergeCell ref="Y487:Y487"/>
    <mergeCell ref="Z487:Z487"/>
    <mergeCell ref="AA487:AA487"/>
    <mergeCell ref="AB487:AB487"/>
    <mergeCell ref="AC487:AC487"/>
    <mergeCell ref="AD487:AD487"/>
    <mergeCell ref="AE487:AE487"/>
    <mergeCell ref="AF487:AF487"/>
    <mergeCell ref="A488:A488"/>
    <mergeCell ref="B488:B488"/>
    <mergeCell ref="C488:C488"/>
    <mergeCell ref="F488:F488"/>
    <mergeCell ref="G488:G488"/>
    <mergeCell ref="H488:H488"/>
    <mergeCell ref="M488:M488"/>
    <mergeCell ref="N488:N488"/>
    <mergeCell ref="O488:O488"/>
    <mergeCell ref="P488:P488"/>
    <mergeCell ref="Q488:Q488"/>
    <mergeCell ref="R488:R488"/>
    <mergeCell ref="S488:S488"/>
    <mergeCell ref="X488:X488"/>
    <mergeCell ref="Y488:Y488"/>
    <mergeCell ref="Z488:Z488"/>
    <mergeCell ref="AA488:AA488"/>
    <mergeCell ref="AB488:AB488"/>
    <mergeCell ref="AC488:AC488"/>
    <mergeCell ref="AD488:AD488"/>
    <mergeCell ref="AE488:AE488"/>
    <mergeCell ref="AF488:AF488"/>
    <mergeCell ref="A489:A489"/>
    <mergeCell ref="B489:B489"/>
    <mergeCell ref="C489:C489"/>
    <mergeCell ref="F489:F489"/>
    <mergeCell ref="G489:G489"/>
    <mergeCell ref="H489:H489"/>
    <mergeCell ref="M489:M489"/>
    <mergeCell ref="N489:N489"/>
    <mergeCell ref="O489:O489"/>
    <mergeCell ref="P489:P489"/>
    <mergeCell ref="Q489:Q489"/>
    <mergeCell ref="R489:R489"/>
    <mergeCell ref="S489:S489"/>
    <mergeCell ref="X489:X489"/>
    <mergeCell ref="Y489:Y489"/>
    <mergeCell ref="Z489:Z489"/>
    <mergeCell ref="AA489:AA489"/>
    <mergeCell ref="AB489:AB489"/>
    <mergeCell ref="AC489:AC489"/>
    <mergeCell ref="AD489:AD489"/>
    <mergeCell ref="AE489:AE489"/>
    <mergeCell ref="AF489:AF489"/>
    <mergeCell ref="A490:A490"/>
    <mergeCell ref="B490:B490"/>
    <mergeCell ref="C490:C490"/>
    <mergeCell ref="F490:F490"/>
    <mergeCell ref="G490:G490"/>
    <mergeCell ref="H490:H490"/>
    <mergeCell ref="M490:M490"/>
    <mergeCell ref="N490:N490"/>
    <mergeCell ref="O490:O490"/>
    <mergeCell ref="P490:P490"/>
    <mergeCell ref="Q490:Q490"/>
    <mergeCell ref="R490:R490"/>
    <mergeCell ref="S490:S490"/>
    <mergeCell ref="X490:X490"/>
    <mergeCell ref="Y490:Y490"/>
    <mergeCell ref="Z490:Z490"/>
    <mergeCell ref="AA490:AA490"/>
    <mergeCell ref="AB490:AB490"/>
    <mergeCell ref="AC490:AC490"/>
    <mergeCell ref="AD490:AD490"/>
    <mergeCell ref="AE490:AE490"/>
    <mergeCell ref="AF490:AF490"/>
    <mergeCell ref="A491:A491"/>
    <mergeCell ref="B491:B491"/>
    <mergeCell ref="C491:C491"/>
    <mergeCell ref="F491:F491"/>
    <mergeCell ref="G491:G491"/>
    <mergeCell ref="H491:H491"/>
    <mergeCell ref="M491:M491"/>
    <mergeCell ref="N491:N491"/>
    <mergeCell ref="O491:O491"/>
    <mergeCell ref="P491:P491"/>
    <mergeCell ref="Q491:Q491"/>
    <mergeCell ref="R491:R491"/>
    <mergeCell ref="S491:S491"/>
    <mergeCell ref="X491:X491"/>
    <mergeCell ref="Y491:Y491"/>
    <mergeCell ref="Z491:Z491"/>
    <mergeCell ref="AA491:AA491"/>
    <mergeCell ref="AB491:AB491"/>
    <mergeCell ref="AC491:AC491"/>
    <mergeCell ref="AD491:AD491"/>
    <mergeCell ref="AE491:AE491"/>
    <mergeCell ref="AF491:AF491"/>
    <mergeCell ref="A492:A492"/>
    <mergeCell ref="B492:B492"/>
    <mergeCell ref="C492:C492"/>
    <mergeCell ref="F492:F492"/>
    <mergeCell ref="G492:G492"/>
    <mergeCell ref="H492:H492"/>
    <mergeCell ref="M492:M492"/>
    <mergeCell ref="N492:N492"/>
    <mergeCell ref="O492:O492"/>
    <mergeCell ref="P492:P492"/>
    <mergeCell ref="Q492:Q492"/>
    <mergeCell ref="R492:R492"/>
    <mergeCell ref="S492:S492"/>
    <mergeCell ref="X492:X492"/>
    <mergeCell ref="Y492:Y492"/>
    <mergeCell ref="Z492:Z492"/>
    <mergeCell ref="AA492:AA492"/>
    <mergeCell ref="AB492:AB492"/>
    <mergeCell ref="AC492:AC492"/>
    <mergeCell ref="AD492:AD492"/>
    <mergeCell ref="AE492:AE492"/>
    <mergeCell ref="AF492:AF492"/>
    <mergeCell ref="A493:A493"/>
    <mergeCell ref="B493:B493"/>
    <mergeCell ref="C493:C493"/>
    <mergeCell ref="F493:F493"/>
    <mergeCell ref="G493:G493"/>
    <mergeCell ref="H493:H493"/>
    <mergeCell ref="M493:M493"/>
    <mergeCell ref="N493:N493"/>
    <mergeCell ref="O493:O493"/>
    <mergeCell ref="P493:P493"/>
    <mergeCell ref="Q493:Q493"/>
    <mergeCell ref="R493:R493"/>
    <mergeCell ref="S493:S493"/>
    <mergeCell ref="X493:X493"/>
    <mergeCell ref="Y493:Y493"/>
    <mergeCell ref="Z493:Z493"/>
    <mergeCell ref="AA493:AA493"/>
    <mergeCell ref="AB493:AB493"/>
    <mergeCell ref="AC493:AC493"/>
    <mergeCell ref="AD493:AD493"/>
    <mergeCell ref="AE493:AE493"/>
    <mergeCell ref="AF493:AF493"/>
    <mergeCell ref="A494:A494"/>
    <mergeCell ref="B494:B494"/>
    <mergeCell ref="C494:C494"/>
    <mergeCell ref="F494:F494"/>
    <mergeCell ref="G494:G494"/>
    <mergeCell ref="H494:H494"/>
    <mergeCell ref="M494:M494"/>
    <mergeCell ref="N494:N494"/>
    <mergeCell ref="O494:O494"/>
    <mergeCell ref="P494:P494"/>
    <mergeCell ref="Q494:Q494"/>
    <mergeCell ref="R494:R494"/>
    <mergeCell ref="S494:S494"/>
    <mergeCell ref="X494:X494"/>
    <mergeCell ref="Y494:Y494"/>
    <mergeCell ref="Z494:Z494"/>
    <mergeCell ref="AA494:AA494"/>
    <mergeCell ref="AB494:AB494"/>
    <mergeCell ref="AC494:AC494"/>
    <mergeCell ref="AD494:AD494"/>
    <mergeCell ref="AE494:AE494"/>
    <mergeCell ref="AF494:AF494"/>
    <mergeCell ref="A495:A495"/>
    <mergeCell ref="B495:B495"/>
    <mergeCell ref="C495:C495"/>
    <mergeCell ref="F495:F495"/>
    <mergeCell ref="G495:G495"/>
    <mergeCell ref="H495:H495"/>
    <mergeCell ref="M495:M495"/>
    <mergeCell ref="N495:N495"/>
    <mergeCell ref="O495:O495"/>
    <mergeCell ref="P495:P495"/>
    <mergeCell ref="Q495:Q495"/>
    <mergeCell ref="R495:R495"/>
    <mergeCell ref="S495:S495"/>
    <mergeCell ref="X495:X495"/>
    <mergeCell ref="Y495:Y495"/>
    <mergeCell ref="Z495:Z495"/>
    <mergeCell ref="AA495:AA495"/>
    <mergeCell ref="AB495:AB495"/>
    <mergeCell ref="AC495:AC495"/>
    <mergeCell ref="AD495:AD495"/>
    <mergeCell ref="AE495:AE495"/>
    <mergeCell ref="AF495:AF495"/>
    <mergeCell ref="A496:A496"/>
    <mergeCell ref="B496:B496"/>
    <mergeCell ref="C496:C496"/>
    <mergeCell ref="F496:F496"/>
    <mergeCell ref="G496:G496"/>
    <mergeCell ref="H496:H496"/>
    <mergeCell ref="M496:M496"/>
    <mergeCell ref="N496:N496"/>
    <mergeCell ref="O496:O496"/>
    <mergeCell ref="P496:P496"/>
    <mergeCell ref="Q496:Q496"/>
    <mergeCell ref="R496:R496"/>
    <mergeCell ref="S496:S496"/>
    <mergeCell ref="X496:X496"/>
    <mergeCell ref="Y496:Y496"/>
    <mergeCell ref="Z496:Z496"/>
    <mergeCell ref="AA496:AA496"/>
    <mergeCell ref="AB496:AB496"/>
    <mergeCell ref="AC496:AC496"/>
    <mergeCell ref="AD496:AD496"/>
    <mergeCell ref="AE496:AE496"/>
    <mergeCell ref="AF496:AF496"/>
    <mergeCell ref="A497:A497"/>
    <mergeCell ref="B497:B497"/>
    <mergeCell ref="C497:C497"/>
    <mergeCell ref="F497:F497"/>
    <mergeCell ref="G497:G497"/>
    <mergeCell ref="H497:H497"/>
    <mergeCell ref="M497:M497"/>
    <mergeCell ref="N497:N497"/>
    <mergeCell ref="O497:O497"/>
    <mergeCell ref="P497:P497"/>
    <mergeCell ref="Q497:Q497"/>
    <mergeCell ref="R497:R497"/>
    <mergeCell ref="S497:S497"/>
    <mergeCell ref="X497:X497"/>
    <mergeCell ref="Y497:Y497"/>
    <mergeCell ref="Z497:Z497"/>
    <mergeCell ref="AA497:AA497"/>
    <mergeCell ref="AB497:AB497"/>
    <mergeCell ref="AC497:AC497"/>
    <mergeCell ref="AD497:AD497"/>
    <mergeCell ref="AE497:AE497"/>
    <mergeCell ref="AF497:AF497"/>
    <mergeCell ref="A498:A498"/>
    <mergeCell ref="B498:B498"/>
    <mergeCell ref="C498:C498"/>
    <mergeCell ref="F498:F498"/>
    <mergeCell ref="G498:G498"/>
    <mergeCell ref="H498:H498"/>
    <mergeCell ref="M498:M498"/>
    <mergeCell ref="N498:N498"/>
    <mergeCell ref="O498:O498"/>
    <mergeCell ref="P498:P498"/>
    <mergeCell ref="Q498:Q498"/>
    <mergeCell ref="R498:R498"/>
    <mergeCell ref="S498:S498"/>
    <mergeCell ref="X498:X498"/>
    <mergeCell ref="Y498:Y498"/>
    <mergeCell ref="Z498:Z498"/>
    <mergeCell ref="AA498:AA498"/>
    <mergeCell ref="AB498:AB498"/>
    <mergeCell ref="AC498:AC498"/>
    <mergeCell ref="AD498:AD498"/>
    <mergeCell ref="AE498:AE498"/>
    <mergeCell ref="AF498:AF498"/>
    <mergeCell ref="A499:A499"/>
    <mergeCell ref="B499:B499"/>
    <mergeCell ref="C499:C499"/>
    <mergeCell ref="F499:F499"/>
    <mergeCell ref="G499:G499"/>
    <mergeCell ref="H499:H499"/>
    <mergeCell ref="M499:M499"/>
    <mergeCell ref="N499:N499"/>
    <mergeCell ref="O499:O499"/>
    <mergeCell ref="P499:P499"/>
    <mergeCell ref="Q499:Q499"/>
    <mergeCell ref="R499:R499"/>
    <mergeCell ref="S499:S499"/>
    <mergeCell ref="X499:X499"/>
    <mergeCell ref="Y499:Y499"/>
    <mergeCell ref="Z499:Z499"/>
    <mergeCell ref="AA499:AA499"/>
    <mergeCell ref="AB499:AB499"/>
    <mergeCell ref="AC499:AC499"/>
    <mergeCell ref="AD499:AD499"/>
    <mergeCell ref="AE499:AE499"/>
    <mergeCell ref="AF499:AF499"/>
    <mergeCell ref="A500:A500"/>
    <mergeCell ref="B500:B500"/>
    <mergeCell ref="C500:C500"/>
    <mergeCell ref="F500:F500"/>
    <mergeCell ref="G500:G500"/>
    <mergeCell ref="H500:H500"/>
    <mergeCell ref="M500:M500"/>
    <mergeCell ref="N500:N500"/>
    <mergeCell ref="O500:O500"/>
    <mergeCell ref="P500:P500"/>
    <mergeCell ref="Q500:Q500"/>
    <mergeCell ref="R500:R500"/>
    <mergeCell ref="S500:S500"/>
    <mergeCell ref="X500:X500"/>
    <mergeCell ref="Y500:Y500"/>
    <mergeCell ref="Z500:Z500"/>
    <mergeCell ref="AA500:AA500"/>
    <mergeCell ref="AB500:AB500"/>
    <mergeCell ref="AC500:AC500"/>
    <mergeCell ref="AD500:AD500"/>
    <mergeCell ref="AE500:AE500"/>
    <mergeCell ref="AF500:AF500"/>
    <mergeCell ref="A501:A501"/>
    <mergeCell ref="B501:B501"/>
    <mergeCell ref="C501:C501"/>
    <mergeCell ref="F501:F501"/>
    <mergeCell ref="G501:G501"/>
    <mergeCell ref="H501:H501"/>
    <mergeCell ref="M501:M501"/>
    <mergeCell ref="N501:N501"/>
    <mergeCell ref="O501:O501"/>
    <mergeCell ref="P501:P501"/>
    <mergeCell ref="Q501:Q501"/>
    <mergeCell ref="R501:R501"/>
    <mergeCell ref="S501:S501"/>
    <mergeCell ref="X501:X501"/>
    <mergeCell ref="Y501:Y501"/>
    <mergeCell ref="Z501:Z501"/>
    <mergeCell ref="AA501:AA501"/>
    <mergeCell ref="AB501:AB501"/>
    <mergeCell ref="AC501:AC501"/>
    <mergeCell ref="AD501:AD501"/>
    <mergeCell ref="AE501:AE501"/>
    <mergeCell ref="AF501:AF501"/>
    <mergeCell ref="A502:A502"/>
    <mergeCell ref="B502:B502"/>
    <mergeCell ref="C502:C502"/>
    <mergeCell ref="F502:F502"/>
    <mergeCell ref="G502:G502"/>
    <mergeCell ref="H502:H502"/>
    <mergeCell ref="M502:M502"/>
    <mergeCell ref="N502:N502"/>
    <mergeCell ref="O502:O502"/>
    <mergeCell ref="P502:P502"/>
    <mergeCell ref="Q502:Q502"/>
    <mergeCell ref="R502:R502"/>
    <mergeCell ref="S502:S502"/>
    <mergeCell ref="X502:X502"/>
    <mergeCell ref="Y502:Y502"/>
    <mergeCell ref="Z502:Z502"/>
    <mergeCell ref="AA502:AA502"/>
    <mergeCell ref="AB502:AB502"/>
    <mergeCell ref="AC502:AC502"/>
    <mergeCell ref="AD502:AD502"/>
    <mergeCell ref="AE502:AE502"/>
    <mergeCell ref="AF502:AF502"/>
    <mergeCell ref="A503:A503"/>
    <mergeCell ref="B503:B503"/>
    <mergeCell ref="C503:C503"/>
    <mergeCell ref="F503:F503"/>
    <mergeCell ref="G503:G503"/>
    <mergeCell ref="H503:H503"/>
    <mergeCell ref="M503:M503"/>
    <mergeCell ref="N503:N503"/>
    <mergeCell ref="O503:O503"/>
    <mergeCell ref="P503:P503"/>
    <mergeCell ref="Q503:Q503"/>
    <mergeCell ref="R503:R503"/>
    <mergeCell ref="S503:S503"/>
    <mergeCell ref="X503:X503"/>
    <mergeCell ref="Y503:Y503"/>
    <mergeCell ref="Z503:Z503"/>
    <mergeCell ref="AA503:AA503"/>
    <mergeCell ref="AB503:AB503"/>
    <mergeCell ref="AC503:AC503"/>
    <mergeCell ref="AD503:AD503"/>
    <mergeCell ref="AE503:AE503"/>
    <mergeCell ref="AF503:AF503"/>
    <mergeCell ref="A504:A504"/>
    <mergeCell ref="B504:B504"/>
    <mergeCell ref="C504:C504"/>
    <mergeCell ref="F504:F504"/>
    <mergeCell ref="G504:G504"/>
    <mergeCell ref="H504:H504"/>
    <mergeCell ref="M504:M504"/>
    <mergeCell ref="N504:N504"/>
    <mergeCell ref="O504:O504"/>
    <mergeCell ref="P504:P504"/>
    <mergeCell ref="Q504:Q504"/>
    <mergeCell ref="R504:R504"/>
    <mergeCell ref="S504:S504"/>
    <mergeCell ref="X504:X504"/>
    <mergeCell ref="Y504:Y504"/>
    <mergeCell ref="Z504:Z504"/>
    <mergeCell ref="AA504:AA504"/>
    <mergeCell ref="AB504:AB504"/>
    <mergeCell ref="AC504:AC504"/>
    <mergeCell ref="AD504:AD504"/>
    <mergeCell ref="AE504:AE504"/>
    <mergeCell ref="AF504:AF504"/>
    <mergeCell ref="A505:A505"/>
    <mergeCell ref="B505:B505"/>
    <mergeCell ref="C505:C505"/>
    <mergeCell ref="F505:F505"/>
    <mergeCell ref="G505:G505"/>
    <mergeCell ref="H505:H505"/>
    <mergeCell ref="M505:M505"/>
    <mergeCell ref="N505:N505"/>
    <mergeCell ref="O505:O505"/>
    <mergeCell ref="P505:P505"/>
    <mergeCell ref="Q505:Q505"/>
    <mergeCell ref="R505:R505"/>
    <mergeCell ref="S505:S505"/>
    <mergeCell ref="X505:X505"/>
    <mergeCell ref="Y505:Y505"/>
    <mergeCell ref="Z505:Z505"/>
    <mergeCell ref="AA505:AA505"/>
    <mergeCell ref="AB505:AB505"/>
    <mergeCell ref="AC505:AC505"/>
    <mergeCell ref="AD505:AD505"/>
    <mergeCell ref="AE505:AE505"/>
    <mergeCell ref="AF505:AF505"/>
    <mergeCell ref="A506:A506"/>
    <mergeCell ref="B506:B506"/>
    <mergeCell ref="C506:C506"/>
    <mergeCell ref="F506:F506"/>
    <mergeCell ref="G506:G506"/>
    <mergeCell ref="H506:H506"/>
    <mergeCell ref="M506:M506"/>
    <mergeCell ref="N506:N506"/>
    <mergeCell ref="O506:O506"/>
    <mergeCell ref="P506:P506"/>
    <mergeCell ref="Q506:Q506"/>
    <mergeCell ref="R506:R506"/>
    <mergeCell ref="S506:S506"/>
    <mergeCell ref="X506:X506"/>
    <mergeCell ref="Y506:Y506"/>
    <mergeCell ref="Z506:Z506"/>
    <mergeCell ref="AA506:AA506"/>
    <mergeCell ref="AB506:AB506"/>
    <mergeCell ref="AC506:AC506"/>
    <mergeCell ref="AD506:AD506"/>
    <mergeCell ref="AE506:AE506"/>
    <mergeCell ref="AF506:AF506"/>
    <mergeCell ref="A507:A507"/>
    <mergeCell ref="B507:B507"/>
    <mergeCell ref="C507:C507"/>
    <mergeCell ref="F507:F507"/>
    <mergeCell ref="G507:G507"/>
    <mergeCell ref="H507:H507"/>
    <mergeCell ref="M507:M507"/>
    <mergeCell ref="N507:N507"/>
    <mergeCell ref="O507:O507"/>
    <mergeCell ref="P507:P507"/>
    <mergeCell ref="Q507:Q507"/>
    <mergeCell ref="R507:R507"/>
    <mergeCell ref="S507:S507"/>
    <mergeCell ref="X507:X507"/>
    <mergeCell ref="Y507:Y507"/>
    <mergeCell ref="Z507:Z507"/>
    <mergeCell ref="AA507:AA507"/>
    <mergeCell ref="AB507:AB507"/>
    <mergeCell ref="AC507:AC507"/>
    <mergeCell ref="AD507:AD507"/>
    <mergeCell ref="AE507:AE507"/>
    <mergeCell ref="AF507:AF507"/>
    <mergeCell ref="A508:A508"/>
    <mergeCell ref="B508:B508"/>
    <mergeCell ref="C508:C508"/>
    <mergeCell ref="F508:F508"/>
    <mergeCell ref="G508:G508"/>
    <mergeCell ref="H508:H508"/>
    <mergeCell ref="M508:M508"/>
    <mergeCell ref="N508:N508"/>
    <mergeCell ref="O508:O508"/>
    <mergeCell ref="P508:P508"/>
    <mergeCell ref="Q508:Q508"/>
    <mergeCell ref="R508:R508"/>
    <mergeCell ref="S508:S508"/>
    <mergeCell ref="X508:X508"/>
    <mergeCell ref="Y508:Y508"/>
    <mergeCell ref="Z508:Z508"/>
    <mergeCell ref="AA508:AA508"/>
    <mergeCell ref="AB508:AB508"/>
    <mergeCell ref="AC508:AC508"/>
    <mergeCell ref="AD508:AD508"/>
    <mergeCell ref="AE508:AE508"/>
    <mergeCell ref="AF508:AF508"/>
    <mergeCell ref="A509:A509"/>
    <mergeCell ref="B509:B509"/>
    <mergeCell ref="C509:C509"/>
    <mergeCell ref="F509:F509"/>
    <mergeCell ref="G509:G509"/>
    <mergeCell ref="H509:H509"/>
    <mergeCell ref="M509:M509"/>
    <mergeCell ref="N509:N509"/>
    <mergeCell ref="O509:O509"/>
    <mergeCell ref="P509:P509"/>
    <mergeCell ref="Q509:Q509"/>
    <mergeCell ref="R509:R509"/>
    <mergeCell ref="S509:S509"/>
    <mergeCell ref="X509:X509"/>
    <mergeCell ref="Y509:Y509"/>
    <mergeCell ref="Z509:Z509"/>
    <mergeCell ref="AA509:AA509"/>
    <mergeCell ref="AB509:AB509"/>
    <mergeCell ref="AC509:AC509"/>
    <mergeCell ref="AD509:AD509"/>
    <mergeCell ref="AE509:AE509"/>
    <mergeCell ref="AF509:AF509"/>
    <mergeCell ref="A510:A510"/>
    <mergeCell ref="B510:B510"/>
    <mergeCell ref="C510:C510"/>
    <mergeCell ref="F510:F510"/>
    <mergeCell ref="G510:G510"/>
    <mergeCell ref="H510:H510"/>
    <mergeCell ref="M510:M510"/>
    <mergeCell ref="N510:N510"/>
    <mergeCell ref="O510:O510"/>
    <mergeCell ref="P510:P510"/>
    <mergeCell ref="Q510:Q510"/>
    <mergeCell ref="R510:R510"/>
    <mergeCell ref="S510:S510"/>
    <mergeCell ref="X510:X510"/>
    <mergeCell ref="Y510:Y510"/>
    <mergeCell ref="Z510:Z510"/>
    <mergeCell ref="AA510:AA510"/>
    <mergeCell ref="AB510:AB510"/>
    <mergeCell ref="AC510:AC510"/>
    <mergeCell ref="AD510:AD510"/>
    <mergeCell ref="AE510:AE510"/>
    <mergeCell ref="AF510:AF510"/>
    <mergeCell ref="A511:A511"/>
    <mergeCell ref="B511:B511"/>
    <mergeCell ref="C511:C511"/>
    <mergeCell ref="F511:F511"/>
    <mergeCell ref="G511:G511"/>
    <mergeCell ref="H511:H511"/>
    <mergeCell ref="M511:M511"/>
    <mergeCell ref="N511:N511"/>
    <mergeCell ref="O511:O511"/>
    <mergeCell ref="P511:P511"/>
    <mergeCell ref="Q511:Q511"/>
    <mergeCell ref="R511:R511"/>
    <mergeCell ref="S511:S511"/>
    <mergeCell ref="X511:X511"/>
    <mergeCell ref="Y511:Y511"/>
    <mergeCell ref="Z511:Z511"/>
    <mergeCell ref="AA511:AA511"/>
    <mergeCell ref="AB511:AB511"/>
    <mergeCell ref="AC511:AC511"/>
    <mergeCell ref="AD511:AD511"/>
    <mergeCell ref="AE511:AE511"/>
    <mergeCell ref="AF511:AF511"/>
    <mergeCell ref="A512:A512"/>
    <mergeCell ref="B512:B512"/>
    <mergeCell ref="C512:C512"/>
    <mergeCell ref="F512:F512"/>
    <mergeCell ref="G512:G512"/>
    <mergeCell ref="H512:H512"/>
    <mergeCell ref="M512:M512"/>
    <mergeCell ref="N512:N512"/>
    <mergeCell ref="O512:O512"/>
    <mergeCell ref="P512:P512"/>
    <mergeCell ref="Q512:Q512"/>
    <mergeCell ref="R512:R512"/>
    <mergeCell ref="S512:S512"/>
    <mergeCell ref="X512:X512"/>
    <mergeCell ref="Y512:Y512"/>
    <mergeCell ref="Z512:Z512"/>
    <mergeCell ref="AA512:AA512"/>
    <mergeCell ref="AB512:AB512"/>
    <mergeCell ref="AC512:AC512"/>
    <mergeCell ref="AD512:AD512"/>
    <mergeCell ref="AE512:AE512"/>
    <mergeCell ref="AF512:AF512"/>
    <mergeCell ref="A513:A513"/>
    <mergeCell ref="B513:B513"/>
    <mergeCell ref="C513:C513"/>
    <mergeCell ref="F513:F513"/>
    <mergeCell ref="G513:G513"/>
    <mergeCell ref="H513:H513"/>
    <mergeCell ref="M513:M513"/>
    <mergeCell ref="N513:N513"/>
    <mergeCell ref="O513:O513"/>
    <mergeCell ref="P513:P513"/>
    <mergeCell ref="Q513:Q513"/>
    <mergeCell ref="R513:R513"/>
    <mergeCell ref="S513:S513"/>
    <mergeCell ref="X513:X513"/>
    <mergeCell ref="Y513:Y513"/>
    <mergeCell ref="Z513:Z513"/>
    <mergeCell ref="AA513:AA513"/>
    <mergeCell ref="AB513:AB513"/>
    <mergeCell ref="AC513:AC513"/>
    <mergeCell ref="AD513:AD513"/>
    <mergeCell ref="AE513:AE513"/>
    <mergeCell ref="AF513:AF513"/>
    <mergeCell ref="A514:A514"/>
    <mergeCell ref="B514:B514"/>
    <mergeCell ref="C514:C514"/>
    <mergeCell ref="F514:F514"/>
    <mergeCell ref="G514:G514"/>
    <mergeCell ref="H514:H514"/>
    <mergeCell ref="M514:M514"/>
    <mergeCell ref="N514:N514"/>
    <mergeCell ref="O514:O514"/>
    <mergeCell ref="P514:P514"/>
    <mergeCell ref="Q514:Q514"/>
    <mergeCell ref="R514:R514"/>
    <mergeCell ref="S514:S514"/>
    <mergeCell ref="X514:X514"/>
    <mergeCell ref="Y514:Y514"/>
    <mergeCell ref="Z514:Z514"/>
    <mergeCell ref="AA514:AA514"/>
    <mergeCell ref="AB514:AB514"/>
    <mergeCell ref="AC514:AC514"/>
    <mergeCell ref="AD514:AD514"/>
    <mergeCell ref="AE514:AE514"/>
    <mergeCell ref="AF514:AF514"/>
    <mergeCell ref="A515:A515"/>
    <mergeCell ref="B515:B515"/>
    <mergeCell ref="C515:C515"/>
    <mergeCell ref="F515:F515"/>
    <mergeCell ref="G515:G515"/>
    <mergeCell ref="H515:H515"/>
    <mergeCell ref="M515:M515"/>
    <mergeCell ref="N515:N515"/>
    <mergeCell ref="O515:O515"/>
    <mergeCell ref="P515:P515"/>
    <mergeCell ref="Q515:Q515"/>
    <mergeCell ref="R515:R515"/>
    <mergeCell ref="S515:S515"/>
    <mergeCell ref="X515:X515"/>
    <mergeCell ref="Y515:Y515"/>
    <mergeCell ref="Z515:Z515"/>
    <mergeCell ref="AA515:AA515"/>
    <mergeCell ref="AB515:AB515"/>
    <mergeCell ref="AC515:AC515"/>
    <mergeCell ref="AD515:AD515"/>
    <mergeCell ref="AE515:AE515"/>
    <mergeCell ref="AF515:AF515"/>
    <mergeCell ref="A516:A516"/>
    <mergeCell ref="B516:B516"/>
    <mergeCell ref="C516:C516"/>
    <mergeCell ref="F516:F516"/>
    <mergeCell ref="G516:G516"/>
    <mergeCell ref="H516:H516"/>
    <mergeCell ref="M516:M516"/>
    <mergeCell ref="N516:N516"/>
    <mergeCell ref="O516:O516"/>
    <mergeCell ref="P516:P516"/>
    <mergeCell ref="Q516:Q516"/>
    <mergeCell ref="R516:R516"/>
    <mergeCell ref="S516:S516"/>
    <mergeCell ref="X516:X516"/>
    <mergeCell ref="Y516:Y516"/>
    <mergeCell ref="Z516:Z516"/>
    <mergeCell ref="AA516:AA516"/>
    <mergeCell ref="AB516:AB516"/>
    <mergeCell ref="AC516:AC516"/>
    <mergeCell ref="AD516:AD516"/>
    <mergeCell ref="AE516:AE516"/>
    <mergeCell ref="AF516:AF516"/>
    <mergeCell ref="A517:A517"/>
    <mergeCell ref="B517:B517"/>
    <mergeCell ref="C517:C517"/>
    <mergeCell ref="F517:F517"/>
    <mergeCell ref="G517:G517"/>
    <mergeCell ref="H517:H517"/>
    <mergeCell ref="M517:M517"/>
    <mergeCell ref="N517:N517"/>
    <mergeCell ref="O517:O517"/>
    <mergeCell ref="P517:P517"/>
    <mergeCell ref="Q517:Q517"/>
    <mergeCell ref="R517:R517"/>
    <mergeCell ref="S517:S517"/>
    <mergeCell ref="X517:X517"/>
    <mergeCell ref="Y517:Y517"/>
    <mergeCell ref="Z517:Z517"/>
    <mergeCell ref="AA517:AA517"/>
    <mergeCell ref="AB517:AB517"/>
    <mergeCell ref="AC517:AC517"/>
    <mergeCell ref="AD517:AD517"/>
    <mergeCell ref="AE517:AE517"/>
    <mergeCell ref="AF517:AF517"/>
    <mergeCell ref="A518:A518"/>
    <mergeCell ref="B518:B518"/>
    <mergeCell ref="C518:C518"/>
    <mergeCell ref="F518:F518"/>
    <mergeCell ref="G518:G518"/>
    <mergeCell ref="H518:H518"/>
    <mergeCell ref="M518:M518"/>
    <mergeCell ref="N518:N518"/>
    <mergeCell ref="O518:O518"/>
    <mergeCell ref="P518:P518"/>
    <mergeCell ref="Q518:Q518"/>
    <mergeCell ref="R518:R518"/>
    <mergeCell ref="S518:S518"/>
    <mergeCell ref="X518:X518"/>
    <mergeCell ref="Y518:Y518"/>
    <mergeCell ref="Z518:Z518"/>
    <mergeCell ref="AA518:AA518"/>
    <mergeCell ref="AB518:AB518"/>
    <mergeCell ref="AC518:AC518"/>
    <mergeCell ref="AD518:AD518"/>
    <mergeCell ref="AE518:AE518"/>
    <mergeCell ref="AF518:AF518"/>
    <mergeCell ref="A519:A519"/>
    <mergeCell ref="B519:B519"/>
    <mergeCell ref="C519:C519"/>
    <mergeCell ref="F519:F519"/>
    <mergeCell ref="G519:G519"/>
    <mergeCell ref="H519:H519"/>
    <mergeCell ref="M519:M519"/>
    <mergeCell ref="N519:N519"/>
    <mergeCell ref="O519:O519"/>
    <mergeCell ref="P519:P519"/>
    <mergeCell ref="Q519:Q519"/>
    <mergeCell ref="R519:R519"/>
    <mergeCell ref="S519:S519"/>
    <mergeCell ref="X519:X519"/>
    <mergeCell ref="Y519:Y519"/>
    <mergeCell ref="Z519:Z519"/>
    <mergeCell ref="AA519:AA519"/>
    <mergeCell ref="AB519:AB519"/>
    <mergeCell ref="AC519:AC519"/>
    <mergeCell ref="AD519:AD519"/>
    <mergeCell ref="AE519:AE519"/>
    <mergeCell ref="AF519:AF519"/>
    <mergeCell ref="A520:A520"/>
    <mergeCell ref="B520:B520"/>
    <mergeCell ref="C520:C520"/>
    <mergeCell ref="F520:F520"/>
    <mergeCell ref="G520:G520"/>
    <mergeCell ref="H520:H520"/>
    <mergeCell ref="M520:M520"/>
    <mergeCell ref="N520:N520"/>
    <mergeCell ref="O520:O520"/>
    <mergeCell ref="P520:P520"/>
    <mergeCell ref="Q520:Q520"/>
    <mergeCell ref="R520:R520"/>
    <mergeCell ref="S520:S520"/>
    <mergeCell ref="X520:X520"/>
    <mergeCell ref="Y520:Y520"/>
    <mergeCell ref="Z520:Z520"/>
    <mergeCell ref="AA520:AA520"/>
    <mergeCell ref="AB520:AB520"/>
    <mergeCell ref="AC520:AC520"/>
    <mergeCell ref="AD520:AD520"/>
    <mergeCell ref="AE520:AE520"/>
    <mergeCell ref="AF520:AF520"/>
    <mergeCell ref="A521:A521"/>
    <mergeCell ref="B521:B521"/>
    <mergeCell ref="C521:C521"/>
    <mergeCell ref="F521:F521"/>
    <mergeCell ref="G521:G521"/>
    <mergeCell ref="H521:H521"/>
    <mergeCell ref="M521:M521"/>
    <mergeCell ref="N521:N521"/>
    <mergeCell ref="O521:O521"/>
    <mergeCell ref="P521:P521"/>
    <mergeCell ref="Q521:Q521"/>
    <mergeCell ref="R521:R521"/>
    <mergeCell ref="S521:S521"/>
    <mergeCell ref="X521:X521"/>
    <mergeCell ref="Y521:Y521"/>
    <mergeCell ref="Z521:Z521"/>
    <mergeCell ref="AA521:AA521"/>
    <mergeCell ref="AB521:AB521"/>
    <mergeCell ref="AC521:AC521"/>
    <mergeCell ref="AD521:AD521"/>
    <mergeCell ref="AE521:AE521"/>
    <mergeCell ref="AF521:AF521"/>
    <mergeCell ref="A522:A522"/>
    <mergeCell ref="B522:B522"/>
    <mergeCell ref="C522:C522"/>
    <mergeCell ref="F522:F522"/>
    <mergeCell ref="G522:G522"/>
    <mergeCell ref="H522:H522"/>
    <mergeCell ref="M522:M522"/>
    <mergeCell ref="N522:N522"/>
    <mergeCell ref="O522:O522"/>
    <mergeCell ref="P522:P522"/>
    <mergeCell ref="Q522:Q522"/>
    <mergeCell ref="R522:R522"/>
    <mergeCell ref="S522:S522"/>
    <mergeCell ref="X522:X522"/>
    <mergeCell ref="Y522:Y522"/>
    <mergeCell ref="Z522:Z522"/>
    <mergeCell ref="AA522:AA522"/>
    <mergeCell ref="AB522:AB522"/>
    <mergeCell ref="AC522:AC522"/>
    <mergeCell ref="AD522:AD522"/>
    <mergeCell ref="AE522:AE522"/>
    <mergeCell ref="AF522:AF522"/>
  </mergeCells>
  <hyperlinks>
    <hyperlink ref="D6" r:id="rId_hyperlink_1" tooltip="爬梯上部出入口被一水管横贯，阻碍通行，若1名职工在巡检时下爬梯过程中，腿部不慎被水管绊倒向前倾跌落近4m落差爬梯，头部着地造成颅骨粉碎性骨折，送医救治无效死亡。"/>
    <hyperlink ref="D7" r:id="rId_hyperlink_2" tooltip="雨挡部分松动脱落，遇大风天气雨挡坠落后砸伤下部通行人员，肩部损伤。"/>
    <hyperlink ref="D8" r:id="rId_hyperlink_3" tooltip="雨挡部分松动脱落，遇大风天气全部脱落，送煤车走行时剐蹭雨挡损坏磨电轨，造成送煤车无法运行，半小时内无法正常生产出焦，损失3000元。"/>
    <hyperlink ref="D9" r:id="rId_hyperlink_4" tooltip="铁板未盖严，人员经过踩到此处，铁板移动不慎摔倒，人员小腿断裂，造成损工。"/>
    <hyperlink ref="D10" r:id="rId_hyperlink_5" tooltip="焦侧道轨拉条高于平台路面，人员行走被拉条拌倒，前倾倒地双手撑扶因自身惯性导至手腕骨折需休养三个月。"/>
    <hyperlink ref="D11" r:id="rId_hyperlink_6" tooltip="拦焦岗位塌焦，清理红焦时，操作工易造成灼伤"/>
    <hyperlink ref="D12" r:id="rId_hyperlink_7" tooltip="旧拦焦车与炉门间距不足10公分，如果操作人员违反车间安全管理规定与车辆抢行，拦焦车司机注意力不集中，未看到操作人员没有采取制动，操作人员不慎被车辆挤在炉门之间，人员多处身体部位肢解挤碎，当场死亡。"/>
    <hyperlink ref="D13" r:id="rId_hyperlink_8" tooltip="干熄炉楼梯二层警示牌掉落，起不到提示作用，雨雪天气地面湿滑，造成人员滑倒"/>
    <hyperlink ref="D14" r:id="rId_hyperlink_9" tooltip="1#提升机顶部拖链层北侧上下楼梯旁照明灯损坏，人员巡检时因照明不良，从提升机框架北侧40米高处失足坠落，抢救无效当场死亡。"/>
    <hyperlink ref="D15" r:id="rId_hyperlink_10" tooltip="平台连接铁板腐烂 ，如果人员经过踩到此处，铁板塌陷不慎摔倒，送医检查腿部损伤，经抹药处理，在家休养两天。"/>
    <hyperlink ref="D16" r:id="rId_hyperlink_11" tooltip="施工人员违反劳动保护用品使用规定，安全带未按高挂低用标准，若脚底滑落后仰跌落至减速机大轴处，导致腰椎粉碎性骨折"/>
    <hyperlink ref="D17" r:id="rId_hyperlink_12" tooltip="巡检人员给提升机道轨撒沙子时防滑时铁锹不慎滑落从40高空掉落砸中行人，造成人员死亡"/>
    <hyperlink ref="D18" r:id="rId_hyperlink_13" tooltip="干熄焦余热锅炉底部污水井盖未盖到位，假如人员经过，踩翻井盖，腿部掉入0.5米深污水井内，导致腿部骨折，住院治疗损工事故。"/>
    <hyperlink ref="D19" r:id="rId_hyperlink_14" tooltip="焦炉地下室积水坑盖板未盖严，如果一名操作工进行抽水作业，未注意脚下，不慎掉入积水坑，造成左手臂骨折，损工6个月"/>
    <hyperlink ref="D20" r:id="rId_hyperlink_15" tooltip="由于车辆走动混凝土不定时脱落"/>
    <hyperlink ref="D21" r:id="rId_hyperlink_16" tooltip="混凝土不定时脱落，脱落程度不可估计可大可小"/>
    <hyperlink ref="D22" r:id="rId_hyperlink_17" tooltip="操作工违反安全规定，翻越车辆护栏至余煤刮板机清理刮板机内挤住的余煤，未系安全带，如果车辆司机未提醒就开动车辆，人员未站稳从3.5米高的刮板机坠落至地面，头部着地，当场昏迷，经医院抢救无效死亡。"/>
    <hyperlink ref="D23" r:id="rId_hyperlink_18" tooltip="硫酸加药阀门处管道固定不牢，一操作人员在开阀门加硫酸时，造成管道破裂，由于未佩戴防护措施，造成一人身体严重灼伤。"/>
    <hyperlink ref="D24" r:id="rId_hyperlink_19" tooltip="焦侧地面除尘箱体防爆板破损，运行中从破损处吸入大量空气，导致除尘吸力变小，造成推焦冒黑烟，被公司内通报。"/>
    <hyperlink ref="D25" r:id="rId_hyperlink_20" tooltip="焦侧地面除尘箱体防爆板破损，卡在护框内，遇大风天气脱落砸伤下方通行人员，肩部损伤。"/>
    <hyperlink ref="D26" r:id="rId_hyperlink_21" tooltip="干熄炉东侧除尘顶部平台底板开焊移位，操作工夜间到除尘更换除尘布袋，没有发现平台底部开焊移位，从高处坠落，造成死亡事故"/>
    <hyperlink ref="D27" r:id="rId_hyperlink_22" tooltip="一名外协人员在施工时未佩戴安全带，不慎跌落在地，造成左小腿骨折，治疗一个月休养五个月"/>
    <hyperlink ref="D28" r:id="rId_hyperlink_23" tooltip="环境除尘西侧框架西北角底部交叉支撑梁有突出三角铁，现场无禁止通行警示标志，假如外来施工人员在未佩戴安全帽的情况下，从框架下部快速跑过，头部额头撞击三角铁，头部额头出血，送医治疗轻微脑震荡，休息一周。"/>
    <hyperlink ref="D29" r:id="rId_hyperlink_24" tooltip="5.5米焦炉炉顶北头平台吊具，未使用情况下挂钩未落至地面，挂钩上部添加额外配重且与吊具钢丝绳摩擦，钢丝绳脱出挂钩滑轮未在挂钩滑轮内，如果脱落砸中下部通行人员头部，人员当场死亡。"/>
    <hyperlink ref="D30" r:id="rId_hyperlink_25" tooltip="换向工在踩着盖板调节煤气旋塞时，由于盖板不牢固，导致连人带盖板掉入水沟内，送医检查结果：右下肢多处擦伤与软组织损伤，需卧床休息十天。"/>
    <hyperlink ref="D31" r:id="rId_hyperlink_26" tooltip="一名操作工在进行夜间照明灯开启时，由于配电箱盖缺失，手掌触碰到裸漏的220V电源，因常年未排查检修漏电保护器失效，造成人员右手掌电灼伤。住院治疗10天修养1个月。"/>
    <hyperlink ref="D32" r:id="rId_hyperlink_27" tooltip="碳化岗位电缆盒破损，且没有固定夹，在大风天气，被吹落，划伤巡检到此处的操作工"/>
    <hyperlink ref="D33" r:id="rId_hyperlink_28" tooltip="1名电焊工在脚手架上进行焊接作业，未佩戴安全带，不慎从脚手架上摔下来造成胳膊骨折住院治疗15天回家休养半年。"/>
    <hyperlink ref="D34" r:id="rId_hyperlink_29" tooltip="吊车吊出设备时钢丝绳断裂，二热水塔坠落地面，砸中换热器，造成换热器损坏。"/>
    <hyperlink ref="D35" r:id="rId_hyperlink_30" tooltip="芬顿副塔直立爬梯护笼底部偏高，操作人员上下爬梯时容易跌落，造成脚部骨折，住院治疗10天，"/>
    <hyperlink ref="D36" r:id="rId_hyperlink_31" tooltip="现场管线、线路太乱，当操作工经过时被线路绊倒，安全帽摔掉，额头撞到周边设备上。"/>
    <hyperlink ref="D37" r:id="rId_hyperlink_32" tooltip="操作工在巡检液氨大槽液位时，由于脚部打滑，平台无护栏，不慎高处坠落。造成腿部擦伤，出血。"/>
    <hyperlink ref="D38" r:id="rId_hyperlink_33" tooltip="循环水池清淤过程中，吊车吊装料斗至运输车上方，吊装绳索断使料斗坠落造成运输车接料人员受伤。"/>
    <hyperlink ref="D39" r:id="rId_hyperlink_34" tooltip="巡检工在夜间巡检时，现场地沟盖板损坏没能及时发现，造成巡检工拌倒跌伤。"/>
    <hyperlink ref="D40" r:id="rId_hyperlink_35" tooltip="防腐除锈人员安全带未按要求挂牢，在作业过程中，造成作业人员从平台掉落，造成作业人员骨折的伤害事故。"/>
    <hyperlink ref="D41" r:id="rId_hyperlink_36" tooltip="转化作业爬梯不合格，也未捆扎固体，操作工登至最高点，脚踩横撑断裂，高处坠落，腿部着地，造成膝盖骨折，住院治疗三个月"/>
    <hyperlink ref="D42" r:id="rId_hyperlink_37" tooltip="加药罐爬梯踏板太窄，操作工在加完药时，下爬梯时踩空，爬梯一边没有护栏从爬梯上一侧掉下，造成该人员右小腿骨折，住院治疗收7天，在家休息3个月。"/>
    <hyperlink ref="D43" r:id="rId_hyperlink_38" tooltip="压缩机冷排未打夹子固定，加压后冷排容易晃动，损坏设备。"/>
    <hyperlink ref="D44" r:id="rId_hyperlink_39" tooltip="污水沟盖板断裂，夜间光线差，1名夜班巡检人员在盖板行走，不小心踏入水沟"/>
    <hyperlink ref="D45" r:id="rId_hyperlink_40" tooltip="液碱泵子出口管道长无固定支架，压力高管道震动，造成腐蚀了的法兰处泄露，正好溅到巡检人员身上，虽然戴着防护面具，还是造成灼伤，上臂红肿，需住院观察两天的轻伤事故"/>
    <hyperlink ref="D46" r:id="rId_hyperlink_41" tooltip="一人在粗苯南系统排渣槽排渣时，未按照规定劳保穿戴，由于操作失误，造成洗油渣喷溅，一人中毒昏迷，送医院抢救，住院治疗1个月。"/>
    <hyperlink ref="D47" r:id="rId_hyperlink_42" tooltip="外协人员在深度脱硫再生塔顶进行堵漏时，其中一人安全带磨损严重断裂，外协人员从高空坠落至地面，当场死亡。"/>
    <hyperlink ref="D48" r:id="rId_hyperlink_43" tooltip="在蒸汽管线对接过程中，由于管线温度高，一人未按规定挂好安全带安全绳，在管架上踩空导致从管架上坠落"/>
    <hyperlink ref="D49" r:id="rId_hyperlink_44" tooltip="由于降温风扇的两个螺丝脱落，致使风扇护罩开裂"/>
    <hyperlink ref="D50" r:id="rId_hyperlink_45" tooltip="保运人员在维修管道过程中许要用蒸汽吹扫管道内物质，在用软管连接蒸汽放空管时没有捆绑牢固，在开蒸汽阀门时软管脱落造成一人烫伤"/>
    <hyperlink ref="D51" r:id="rId_hyperlink_46" tooltip="变换二热水塔吊装就位下落过程中，二热水塔摇摆将一名安装人员挤伤右脚。"/>
    <hyperlink ref="D52" r:id="rId_hyperlink_47" tooltip="两乙炔瓶未固定，操作人员去搬运其中一个时不小心碰倒另外一个，砸伤脚背"/>
    <hyperlink ref="D53" r:id="rId_hyperlink_48" tooltip="3#站厌氧罐防腐保温外层铁皮经年腐蚀老化，操作工在清理其周边卫生时被脱落的铁皮砸伤"/>
    <hyperlink ref="D54" r:id="rId_hyperlink_49" tooltip="3#站催化氧化罐爬梯处护栏缺失，操作工在跨越爬梯开启阀门时，踩空摔倒造成右小腿脚踝扭伤，在家修养3天。"/>
    <hyperlink ref="D55" r:id="rId_hyperlink_50" tooltip="多介质进水管进药液止回阀处渗液，药液滴致多介质进水管及反洗水管上，腐蚀管道，如未及时发现，造成管道腐蚀泄。"/>
    <hyperlink ref="D56" r:id="rId_hyperlink_51" tooltip="一名操作工夜间巡检时由于照明不好，地沟盖板腐蚀破损严重，不慎掉入地沟中造成小腿擦伤。"/>
    <hyperlink ref="D57" r:id="rId_hyperlink_52" tooltip="蒸馏装置支架腐蚀严重，在进行蒸馏操作时，玻璃器皿易脱落破裂，造成人员手臂前段轻微烫伤。"/>
    <hyperlink ref="D58" r:id="rId_hyperlink_53" tooltip="一名操作人员，在巡检电铺焦油器过程中因未发现三层平台支架槽钢开焊导致踩空脚部卡入平台缝隙中"/>
    <hyperlink ref="D59" r:id="rId_hyperlink_54" tooltip="岗位爬梯没有上下爬梯警示牌，操作工在上爬梯开关阀门时，脚部打滑，造成腿部擦伤事故。"/>
    <hyperlink ref="D60" r:id="rId_hyperlink_55" tooltip="一名操作工站在木墩上开关阀门，一旦开关阀门用力过度，脚底下木墩会失去平衡，导致操作工轻微手臂拉伤，就医处理后继续上班。"/>
    <hyperlink ref="D61" r:id="rId_hyperlink_56" tooltip="操作工夜间取样时，因脚踏板狭窄，两侧无护栏，下脚踏板时右脚脚底打滑踩空，造成操作工右脚脚踝扭伤。经医务室冷敷消肿后已无大碍。"/>
    <hyperlink ref="D62" r:id="rId_hyperlink_57" tooltip="操作工夜间取样时，因脚踏板狭窄，两侧无护栏，操作工下脚踏板时右脚打滑踩空，造成操作工右脚脚踝扭伤，医务室冷敷消肿后已无大碍。"/>
    <hyperlink ref="D63" r:id="rId_hyperlink_58" tooltip="化产车间西区照明线路老化，线路表皮破损，如遇到阴雨等天气，易造成线路短路，引起放电、着火。"/>
    <hyperlink ref="D64" r:id="rId_hyperlink_59" tooltip="熔硫釜操作室内行车拉线断裂"/>
    <hyperlink ref="D65" r:id="rId_hyperlink_60" tooltip="一操作工进行冲洗罐药剂投加操作后，下爬梯过程中由于爬梯踏板太窄无扶手不慎踩空滑倒，造成脚腕轻微扭伤，休息片刻后无碍。"/>
    <hyperlink ref="D66" r:id="rId_hyperlink_61" tooltip="北脱硫南侧11#消防栓阀头破损，使用10年，如果发生火灾，该消防栓无法正常打开阀门，起不到灭火作用。可能会造成轻微的财产损失。"/>
    <hyperlink ref="D67" r:id="rId_hyperlink_62" tooltip="一名维修工在熔硫釜现场更换蒸汽管线，未佩戴高温手套和护目镜，蒸汽管线阀门一旦泄露蒸汽，作业人员可能造成手臂灼烫伤害。"/>
    <hyperlink ref="D68" r:id="rId_hyperlink_63" tooltip="两盐门口地沟盖板破损，如果有人从此路过，坠入0.5米深的地沟，造成右小腿划伤。"/>
    <hyperlink ref="D69" r:id="rId_hyperlink_64" tooltip="南脱硫A循环槽顶部部分开焊，使用9年，如果人员巡检到此处，手扶护栏开阀门，不慎坠落，造成腿部骨折，住院治疗3个月，"/>
    <hyperlink ref="D70" r:id="rId_hyperlink_65" tooltip="清水池南侧移动爬梯两侧无扶手，地面不平整，爬梯不稳固，一名操作工在夜间擦拭池顶水泵时，不慎滑跌，造成右脚脚踝扭伤红肿，皮肤淤青，去医务室冷敷包扎后休假3天"/>
    <hyperlink ref="D71" r:id="rId_hyperlink_66" tooltip="北风机1#电捕焦油器顶层平台底板缺失，假如操作人员经过失足踩空，腿部陷落，造成腿部划伤，去医务室简单处理后正常上班，未损工"/>
    <hyperlink ref="D72" r:id="rId_hyperlink_67" tooltip="北风机废气回收洗涤塔无护笼，如果一人在爬爬梯时手部未抓牢，可能造成人员从爬梯坠落腿部骨折，住院三个月后出院。"/>
    <hyperlink ref="D73" r:id="rId_hyperlink_68" tooltip="粗苯操作室北侧管架上有废旧铝皮，如遇大风时铝皮坠落造成一名巡检职工头部轻微擦伤。"/>
    <hyperlink ref="D74" r:id="rId_hyperlink_69" tooltip="风机房内小回流爬梯平台未加护栏，如果操作人员在开关阀门时用力过大，可能有掉下来的风险，可能会造成人员脚腕扭伤或腿部创伤，轻微人身伤害。"/>
    <hyperlink ref="D75" r:id="rId_hyperlink_70" tooltip="一名操作工将要在冷却罐顶部开关阀门作业，垂直爬梯未悬挂警示标示，作业人员一旦未抓牢爬梯，造成人员坠落，导致尾骨断裂，就医治疗，损工半年！"/>
    <hyperlink ref="D76" r:id="rId_hyperlink_71" tooltip="冷凝夜循环罐平台护栏部分缺失，假如夜间操作工在观察液位时，一旦脚步踩空，会造成脚扭伤。"/>
    <hyperlink ref="D77" r:id="rId_hyperlink_72" tooltip="外来施工人员1人独自进行高处作业，戴耐高温手套并手持工具、线缆攀爬移动脚手架至3米高处，如果手抓不牢会发生坠落伤害。"/>
    <hyperlink ref="D78" r:id="rId_hyperlink_73" tooltip="彩钢房顶部腐蚀严重，如果铁皮 角铁坠落可能会砸伤操作人员"/>
    <hyperlink ref="D79" r:id="rId_hyperlink_74" tooltip="南脱硫2#脱硫塔由于腐蚀严重出现漏点，外漏脱硫液，如果一名员工巡检到此处，观察漏点时，脱硫液不慎滴入严重，造成眼部轻微灼伤。"/>
    <hyperlink ref="D80" r:id="rId_hyperlink_75" tooltip="真空泵无接地线，如果巡检人员检查设备时外壳漏电可能会发生触电伤害。"/>
    <hyperlink ref="D81" r:id="rId_hyperlink_76" tooltip="切割机电缆未防护，长时间进行切割作业飞溅火星可能会造成电缆烧伤破损，假如维修人员移动时可能会造成电缆短路"/>
    <hyperlink ref="D82" r:id="rId_hyperlink_77" tooltip="饱和器反冲管管道法兰连接处漏点，如处理不及时加大腐蚀，造成母液大量流出，满流槽液位降低煤气冒出，环保事故"/>
    <hyperlink ref="D83" r:id="rId_hyperlink_78" tooltip="二号脱硫塔处煤气取样管由于长时间使用，腐蚀严重，煤气阀门关不严，假如化验人员未进行有效防护进行取样作业时，操作人员会造成煤气中毒事故。"/>
    <hyperlink ref="D84" r:id="rId_hyperlink_79" tooltip="预处理项目施工现场周围无警戒线，无照明警示，施工现场有低于地平面30公分左右的沟渠，如果在晚上视线不理想情况下夜班一名操作人员由于疲劳操作容易误跌入施工现场沟渠内，造成人员上臂尺骨骨裂事故。"/>
    <hyperlink ref="D85" r:id="rId_hyperlink_80" tooltip="一名操作人员在循环槽顶部巡检时，发现打催化剂管线晃动大，如果不及时加固可能会造成催化剂管线上的阀门破裂，液体流出污染环境。"/>
    <hyperlink ref="D86" r:id="rId_hyperlink_81" tooltip="泡沫槽积水坑无盖板，如果巡检人员迈入积水坑，会造成脚部扭伤。"/>
    <hyperlink ref="D87" r:id="rId_hyperlink_82" tooltip="硫铵一名 操作工在更换检查蒸汽阀门电子作业中，上部阀门未关严，一旦蒸汽少量喷出，作业人员未佩戴防护面罩会灼烫到面部，轻微烫伤。"/>
    <hyperlink ref="D88" r:id="rId_hyperlink_83" tooltip="凉水塔顶部水泥地面破裂，出现微小坑洞，巡检人员经过此处，可能造成人员摔倒。造成巡检人员轻微摔伤"/>
    <hyperlink ref="D89" r:id="rId_hyperlink_84" tooltip="废料堆现场较为杂乱，吊车司机视线不清，且双方均未佩戴对讲机进行及时沟通，假如指挥人员指挥失误会导致吊装件下落位置不准确，将会砸伤接件人员。"/>
    <hyperlink ref="D90" r:id="rId_hyperlink_85" tooltip="作业现场警戒线脱落，夜间视线不良，人员误入作业场地，被现场铁板拌倒，送医检查脚踝扭伤，经冰镇处理在家休养两天！"/>
    <hyperlink ref="D91" r:id="rId_hyperlink_86" tooltip="大母液泵喷洒密封不严，造成煤气泄露，如果操作工巡检不到位，会造成煤气中毒。"/>
    <hyperlink ref="D92" r:id="rId_hyperlink_87" tooltip="饱和器大母液泵喷洒密封不严，造成煤气泄露，如果操作工巡检不到位，会造成煤气中毒。"/>
    <hyperlink ref="D93" r:id="rId_hyperlink_88" tooltip="饱和器大母液泵喷洒密封不严，造成煤气泄露，如果操作工巡检不到位，会造成煤气中毒。"/>
    <hyperlink ref="D94" r:id="rId_hyperlink_89" tooltip="清投下料筒未戴安全手套"/>
    <hyperlink ref="D95" r:id="rId_hyperlink_90" tooltip="1618加湿罐平台护栏开焊"/>
    <hyperlink ref="D96" r:id="rId_hyperlink_91" tooltip="风机房钢结构腐蚀严重，职工在巡检过程中，被10米高处坠落的彩钢板砸中肩部。"/>
    <hyperlink ref="D97" r:id="rId_hyperlink_92" tooltip="冷凝液泵进口管道漏水，致使地面有积水，导致地面湿滑，如若有人经过比较容易滑倒摔伤。"/>
    <hyperlink ref="D98" r:id="rId_hyperlink_93" tooltip="操作人员在正常操作时需要操作开关按钮，由于按钮处接线破损且无防雨设施，如果在雨天，人员接触按钮会造成触电死亡。"/>
    <hyperlink ref="D99" r:id="rId_hyperlink_94" tooltip="西四通廊有预埋铁件突出，操作工巡检时，左脚踢在预埋铁件上被绊倒，经送医检查左腿膝盖擦伤，在家休养一天。"/>
    <hyperlink ref="D100" r:id="rId_hyperlink_95" tooltip="挡风网掉落，砸中下方职工背部，经送医检查背部轻微划伤，经包扎后在家休养2天复工。"/>
    <hyperlink ref="D101" r:id="rId_hyperlink_96" tooltip="下料筒投料平台护栏开焊，投料时，平台护栏开焊，起不到防护作用，造成跌落"/>
    <hyperlink ref="D102" r:id="rId_hyperlink_97" tooltip="上下爬梯失足滑倒"/>
    <hyperlink ref="D103" r:id="rId_hyperlink_98" tooltip="地面破损，一员工脚踩此处，导致右脚踝关节崴伤，就医敷药，休息两天后复工。"/>
    <hyperlink ref="D104" r:id="rId_hyperlink_99" tooltip="点名室前，施工队伍用铝皮覆盖电焊机用于防雨，一人在操作时触到铝皮引起触电，造成右手电伤，送医院检查右手表皮电灼伤，在家休养三天"/>
    <hyperlink ref="D105" r:id="rId_hyperlink_100" tooltip="操作工行至后尾脚底踩空，安全护栏失去保护作用，造成操作工脚腕扭伤在家修养三天！"/>
    <hyperlink ref="D106" r:id="rId_hyperlink_101" tooltip="焦渣掺配处传动齿轮未安装防护罩，操作人员将手臂挤入齿轮中，造成右手手臂粉碎性骨折，住院治疗1个月，在家修养3个月。"/>
    <hyperlink ref="D107" r:id="rId_hyperlink_102" tooltip="操作工清理下料筒被工作门上侧铁板划伤手臂，在家修养三天！"/>
    <hyperlink ref="D108" r:id="rId_hyperlink_103" tooltip="乙炔瓶气路管与裸露电缆相互叠压，裸露电缆打火引起乙炔气路管着火，导致一施工人员烧伤腿部，住院一个月，在家休养两个月"/>
    <hyperlink ref="D109" r:id="rId_hyperlink_104" tooltip="煤十行灯灯口损坏，漏电，操作工在操作时造成电灼伤，在家休养3天"/>
    <hyperlink ref="D110" r:id="rId_hyperlink_105" tooltip="锅炉零米爬梯处地沟盖板缺失，巡检人员如果注意力不集中迈入地沟中造成左小腿扭伤骨折。"/>
    <hyperlink ref="D111" r:id="rId_hyperlink_106" tooltip="假如一名脱硝操作人员巡检时不慎踏入电缆沟内，小腿部分磕碰到电缆沟沟壁，造成小腿流血，送医治疗休养3天后恢复健康"/>
    <hyperlink ref="D112" r:id="rId_hyperlink_107" tooltip="一员工路经此处不慎将左脚陷入其中，造成腿部划伤，就医包扎，休养两天后复工。"/>
    <hyperlink ref="D113" r:id="rId_hyperlink_108" tooltip="一员工在巡查煤气水封时，未戴护目镜，造成倒淋水溅入眼中，使眼部受伤，用清水冲洗后，就医观察治疗2天后复工。"/>
    <hyperlink ref="D114" r:id="rId_hyperlink_109" tooltip="余热回收器导淋部分阀门及管道未及时保温，导淋部件温度较高，若雨天导淋阀门及管件遇大量低温雨水易开裂、泄漏，导致合成系统停车"/>
    <hyperlink ref="D115" r:id="rId_hyperlink_110" tooltip="碳铵周转库西门口叉车频繁出入，此处未设置“当心叉车”及机动车限速等警示标志，若叉车司机忽视安全管理要求，超速行驶易伤及过往职工，造成人员人身伤害、造成限工、损工事故"/>
    <hyperlink ref="D116" r:id="rId_hyperlink_111" tooltip="由于煤场入口处限高标志缺失，容易造成车辆司机不能准确判断高度，超高车辆碰撞管线桥架，蒸汽管线损坏紧急抢修，化产一套设备停运事故"/>
    <hyperlink ref="D117" r:id="rId_hyperlink_112" tooltip="环境除尘放灰平台，北侧压缩空气管道离地面较高，人员经过时不慎被绊倒，手部先着地，造成手部擦伤流血。"/>
    <hyperlink ref="D118" r:id="rId_hyperlink_113" tooltip="一名职工在巡检电解水处理器的过程中，由于电解水处理配电箱端子老化造成漏电职工触电后摔倒，造成脚部擦伤经医务室处理后继续上班后。"/>
    <hyperlink ref="D119" r:id="rId_hyperlink_114" tooltip="排地沟潜水泵电缆部分未加保护套，破损漏电，导致铁板连电，一巡检工经过此处时，踩踏铁板触电倒地死亡。"/>
    <hyperlink ref="D120" r:id="rId_hyperlink_115" tooltip="5.5米提升井四层西侧护栏多处腐蚀开焊，遇大风天气护栏掉落，砸伤一名巡检工，送医治疗后宣布死亡"/>
    <hyperlink ref="D121" r:id="rId_hyperlink_116" tooltip="西硫铵二楼东侧南窗外蒸汽放散管阀门腐蚀并关不严，导致蒸汽压力高时从放散管喷溅大量蒸汽冷凝水。一名操作工在巡检经过此处时被喷溅出的大量蒸汽冷凝水烫伤后背，送医治疗一周，回家休养一周后复工，损工两周。"/>
    <hyperlink ref="D122" r:id="rId_hyperlink_117" tooltip="南化产循环水凉水塔顶照明灯损坏，夜间现场光线昏暗，当操作工巡检时被电机底座槽钢划伤右腿，去医务室止血包扎后，回家休息3天后复工，损工3天。"/>
    <hyperlink ref="D123" r:id="rId_hyperlink_118" tooltip="两盐岗位切片机东侧出料泵电机护罩腐蚀严重无法起到防护作用，当操作人员巡检时不慎碰到，被转动的风扇划伤腿部，包扎后回家休息3天后复工，损工3天"/>
    <hyperlink ref="D124" r:id="rId_hyperlink_119" tooltip="1618操作工未按照工具使用要求将用完的工具放到指定位置，随手将用完的钢钎放在了高处的钢平台上，在清理钢平台下方的出料筒时，钢钎坠落造成操作工右侧锁骨骨折，住院15天，在家修养3个月。"/>
    <hyperlink ref="D125" r:id="rId_hyperlink_120" tooltip="地沟盖板老化开裂，假如一名巡检工夜晚巡检到此处时，由于光线较暗，右脚踩在老化开裂的地沟盖板上，盖板断裂，右脚踏空陷入地沟内，造成小腿前部肌肉挫伤，去医院简单治疗后回家修养三天。"/>
    <hyperlink ref="D126" r:id="rId_hyperlink_121" tooltip="2#站主塔管道腐蚀严重，致使塔内污水泄露，腐蚀地面"/>
    <hyperlink ref="D127" r:id="rId_hyperlink_122" tooltip="一名操作工在电捕水封槽处巡检时，因防雨棚一横梁腐烂滑脱坠落，砸中该操作工左肩，送医救治诊断为肩胛骨骨折，治疗两个月后恢复出院，损工两个月。"/>
    <hyperlink ref="D128" r:id="rId_hyperlink_123" tooltip="清水池池面现场混乱，地面电缆线乱作一团，操作工在取样时被电缆线绊倒，致右腿膝盖软组织挫伤，无损工事故"/>
    <hyperlink ref="D129" r:id="rId_hyperlink_124" tooltip="浓水处理液碱罐未设置半面罩，假如一名维修工人维修该处管线，管线内的液碱溅出进入维修人员眼内，造成眼睛灼伤送医治疗2个月后复工。"/>
    <hyperlink ref="D130" r:id="rId_hyperlink_125" tooltip="深度处理东侧水池临时线路未架空,放置在地上线缆容易磨损漏电,一旦巡检人员不慎踩到磨损线路,造成触电,送医院抢救无效死亡。"/>
    <hyperlink ref="D131" r:id="rId_hyperlink_126" tooltip="筛焦楼操作工从振动筛北侧向焦四机头巡检时，因滑道砖长期未用，捆绑绳老化断裂歪倒砸在巡检经过的操作工腿部将其砸伤，另一操作工发现简单包扎后及时送医治疗，诊断为右腿骨折住院治疗30天回家休养5个月复工。"/>
    <hyperlink ref="D132" r:id="rId_hyperlink_127" tooltip="南脱硫溶液缓冲槽处，有电源仪表线不规范脱落至地面，如果操作人员在此处操作时，误触电源线造成触电击倒，送医院治疗一个月，在家修养一个月，损工61天。"/>
    <hyperlink ref="D133" r:id="rId_hyperlink_128" tooltip="南风机水封槽顶部防雨棚支架腐蚀断裂，一名巡检人员如果在大风天气经过此处有可能会被大风吹掉落的铁管砸中肩部，造成肩部轻微擦伤"/>
    <hyperlink ref="D134" r:id="rId_hyperlink_129" tooltip="两盐北大门上方挡雨板脱落，挂在大门上方，一名操作工经过门口时，被大风刮落的铁皮擦伤面部，未影响正常工作。"/>
    <hyperlink ref="D135" r:id="rId_hyperlink_130" tooltip="施工人员在离初冷器平台三米高的吊篮里检修作业，未悬挂安全带，如果吊篮脱钩掉落平台，会造成施工人员腿部骨折住院治疗。"/>
    <hyperlink ref="D136" r:id="rId_hyperlink_131" tooltip="机侧除尘提升机爬梯腐蚀严重，操作工巡检时踏空坠落，造成脚踝扭伤，就医治疗。"/>
    <hyperlink ref="D137" r:id="rId_hyperlink_132" tooltip="压滤机房排水沟盖板缺失，一操作工清理卫生时右脚不慎掉入地沟，造成右脚扭伤，就医，因脚踝扭伤肿胀需休养三天。"/>
    <hyperlink ref="D138" r:id="rId_hyperlink_133" tooltip="卸酸碱槽棚顶玻璃钢瓦被大风刮起脱落，一操作工巡检到此处时未发现被玻璃钢瓦砸中背部，造成背部划伤，送医护室简单处理后在家休息两天复工。"/>
    <hyperlink ref="D139" r:id="rId_hyperlink_134" tooltip="预处理混合池护栏开焊，一操作工夜间巡检时被管道绊倒从护栏开焊处3米平台跌下地面，造成右手臂骨折，右脚踝脱臼，送至医院救治住院20天在家修养3个月。"/>
    <hyperlink ref="D140" r:id="rId_hyperlink_135" tooltip="生化液碱罐积水坑盖板未盖，一名员工调节碱泵时不小心右脚掉入积水坑摔倒，造成右手腕部骨折住院治疗三个月"/>
    <hyperlink ref="D141" r:id="rId_hyperlink_136" tooltip="深度处理中水车间盐酸加药装置阻尼器因长时间腐蚀外漏喷溅,将正在巡检的操作人员喷溅至左脸，立即用清水冲洗，就医，经诊断左脸轻度灼伤，在家休养3天，复工。"/>
    <hyperlink ref="D142" r:id="rId_hyperlink_137" tooltip="一名巡检工，巡检时不小心被穿线管绊倒，导致右手骨折，送医院就治。"/>
    <hyperlink ref="D143" r:id="rId_hyperlink_138" tooltip="过桥未设安全警示标识，操作工在经过过桥时，头部不慎碰到上方的电缆桥架，送医务室检查为颈部挫伤，回家休养3天后复工。"/>
    <hyperlink ref="D144" r:id="rId_hyperlink_139" tooltip="粗苯管式炉东侧电缆桥架盖板坠落，悬挂在半空，一名操作工在经过桥架下方时被坠落的电缆桥架盖板砸伤头部，未影响正常工作。"/>
    <hyperlink ref="D145" r:id="rId_hyperlink_140" tooltip="西硫铵东花砖路管架上有一废弃不用的铁管，如果一名操作工经过此处，因风大刮落砸中操作工左肩，送医院诊断为左肩轻微骨折，在家休养7天，损工7天。"/>
    <hyperlink ref="D146" r:id="rId_hyperlink_141" tooltip="南脱硫2#脱硫塔水封蒸汽管道铝皮破损，巡检工在开关阀门时，造成手部轻微划伤，医务室简单处理后正常上班。"/>
    <hyperlink ref="D147" r:id="rId_hyperlink_142" tooltip="75吨锅炉煤仓上方无护栏无安全警示，一名锅炉操作工在巡检时不慎掉入煤仓内，造成左胳膊前臂骨折。"/>
    <hyperlink ref="D148" r:id="rId_hyperlink_143" tooltip="操作工在巡检工作时，倚靠护栏，由于护栏根部长年腐蚀烂断，人和护栏一起歪倒，左手被护栏压到骨折，休息一个月，损工30天。"/>
    <hyperlink ref="D149" r:id="rId_hyperlink_144" tooltip="阀门井盖板腐烂严重，一名操作工巡检时不慎踩上去，摔入阀门井中，送医治疗确诊左腿骨折，住院15天，回家修养3个月复工。"/>
    <hyperlink ref="D150" r:id="rId_hyperlink_145" tooltip="絮凝剂管线漏液，由于操作工没有带护目镜，操作工在操作过程中絮凝剂药液溅入眼中"/>
    <hyperlink ref="D151" r:id="rId_hyperlink_146" tooltip="原料氨水泵上方管架油漆工遗留废弃油漆桶一只。假如大风天气一名操作工巡检此处时，可能被掉落的油漆桶砸伤操作工的左臂，送往医务室诊治轻微伤简单包扎后复工"/>
    <hyperlink ref="D152" r:id="rId_hyperlink_147" tooltip="一人上煤时，观察1号下料口时来回经过煤西边煤仓口有坠落伤害"/>
    <hyperlink ref="D153" r:id="rId_hyperlink_148" tooltip="棚顶有杂物，如果在大风天气，一名操作工巡检到这里杂物被风吹下，可能造成操作工手臂划伤，现场止血后送医。"/>
    <hyperlink ref="D154" r:id="rId_hyperlink_149" tooltip="深度处理加药间，盐酸泵进口阀漏液，操作人员发现及时立即通知维修人员。维修人员在检修时未带护目镜，盐酸泵压力上升，外溅起的盐酸喷溅到维修人员的右眼，立即用清水冲洗。送医经诊断右眼轻度灼伤，在家休养3日"/>
    <hyperlink ref="D155" r:id="rId_hyperlink_150" tooltip="老化水工业水泵接触器连接线接点发热"/>
    <hyperlink ref="D156" r:id="rId_hyperlink_151" tooltip="遇大风天气，假如有一名操作人员从平台下经过。被松动的钢瓦砸伤右肩，造成局部红肿，简单处理后不影响正常工作"/>
    <hyperlink ref="D157" r:id="rId_hyperlink_152" tooltip="料口处有一裸露钢筋，一员工在投煤作业时不慎拌倒造成右小腿受伤，送医确诊为右小腿骨折，医治20天休养90天后复工。"/>
    <hyperlink ref="D158" r:id="rId_hyperlink_153" tooltip="吊装装置倒链未放入倒链盒，操作工巡检时被其绊倒，造成左手掌皮肤挫伤，到医务室清洗包扎后回岗位继续工作继续工作。"/>
    <hyperlink ref="D159" r:id="rId_hyperlink_154" tooltip="一名员工在巡检时，不慎被刮煤板把手绊倒，导致下颌受伤，送医确诊为下颌皮肤深度挫裂，缝合五针，住院治疗三天，回家休养七天后复工"/>
    <hyperlink ref="D160" r:id="rId_hyperlink_155" tooltip="4楼一蒸汽吹扫管焊接处开焊，蒸汽喷出，一名操作工从此经过时被蒸汽烫伤到左腿，立即用大量冷水冲洗烫伤的地方进行降温并防止热量往里扩散。经过处理后无大碍不影响工作"/>
    <hyperlink ref="D161" r:id="rId_hyperlink_156" tooltip="污水反渗透浓水管固定卡掉落导致运行中浓水管断裂至其设备停运3小时"/>
    <hyperlink ref="D162" r:id="rId_hyperlink_157" tooltip="南脱硫预冷塔二层平台处有一块废弃铝皮，如果一名操作人员巡检经过该处时，铝皮从二层平台掉落砸中操作人员左肩部，造成一人左肩部轻微擦伤，经简单处理后不影响正常工作。"/>
    <hyperlink ref="D163" r:id="rId_hyperlink_158" tooltip="75吨锅炉炉门处高温，无警示标识 ，一名巡检工经过时不慎手部触碰此处，导致人员烫伤，送医治疗七天后恢复健康出院。"/>
    <hyperlink ref="D164" r:id="rId_hyperlink_159" tooltip="火灾报警器旁边堆积杂物，当附近发生火灾时操作工急忙去按报警器被拌倒磕伤膝盖未及时撤出，全身轻度烧伤，住院治疗一个月"/>
    <hyperlink ref="D165" r:id="rId_hyperlink_160" tooltip="一名操作工巡检煤场，不慎被裸露在外的钢筋绊倒，左手腕受伤，送医确诊，左手手腕骨折，住院治疗15天，回家休养30天后复工。"/>
    <hyperlink ref="D166" r:id="rId_hyperlink_161" tooltip="一人巡检时，由于水沟缺失盖板，不慎左腿跌入其中，造成腿不划伤，经公司医务室简单处理后，继续工作。"/>
    <hyperlink ref="D167" r:id="rId_hyperlink_162" tooltip="洗脱苯一名操作工巡检北管式炉，因电缆桥架盖板未固定，遇大风天气吹落，划伤操作工后颈部！"/>
    <hyperlink ref="D168" r:id="rId_hyperlink_163" tooltip="2#站低浓度管道流量计前法兰焊接处渗漏"/>
    <hyperlink ref="D169" r:id="rId_hyperlink_164" tooltip="管式炉水封槽盖板未盖，可能造成操作人员夜间巡检时因视线不清陷落池内，造成小腿摔伤"/>
    <hyperlink ref="D170" r:id="rId_hyperlink_165" tooltip="皮带运输机托辊磨破，容易造成磨带划带"/>
    <hyperlink ref="D171" r:id="rId_hyperlink_166" tooltip="粗苯东管道架上有废管道一根，一名操作人员巡检此处若坠落可能会砸到头部"/>
    <hyperlink ref="D172" r:id="rId_hyperlink_167" tooltip="煤九外部护栏开焊，清理平台卫生，开焊的护栏拌倒操作工"/>
    <hyperlink ref="D173" r:id="rId_hyperlink_168" tooltip="炉体护栏开焊，一名巡检工不慎掉至下方管线，手臂骨折"/>
    <hyperlink ref="D174" r:id="rId_hyperlink_169" tooltip="因铺设于地下的排水管道腐蚀泄露，挖开地面进行更换，在施工过程中因防范措施不到位，一名员工经过旁边时，被碎石绊倒跌落坑中，送医院检查：左脚脚踝骨折，住院治疗10天，在家休养2个月，损工71天。"/>
    <hyperlink ref="D175" r:id="rId_hyperlink_170" tooltip="预冷塔东侧消防箱因箱底腐烂，导致灭火器掉落，两个灭火器底座损坏！损失200元！"/>
    <hyperlink ref="D176" r:id="rId_hyperlink_171" tooltip="岗位钢钎使用完后违规放置在卸料车上方，操作工再次登车作业时，前额不慎撞上钢钎，造成皮肤划伤，送医敷药包扎后回岗位继续工作。"/>
    <hyperlink ref="D177" r:id="rId_hyperlink_172" tooltip="西四4#配料带偏带运行，容易造成物料掉落偏带磨损撕裂。"/>
    <hyperlink ref="D178" r:id="rId_hyperlink_173" tooltip="配电室楼顶接地极脱落，起不到避雷作用，易造成设备损坏"/>
    <hyperlink ref="D179" r:id="rId_hyperlink_174" tooltip="35kv控制室楼顶接地极脱落，起不到避雷作用，有可能造成设备损坏，影响生产"/>
    <hyperlink ref="D180" r:id="rId_hyperlink_175" tooltip="东一西侧水沟盖板缺失一操作人员巡检时右脚掉入水沟扭伤送医救治，诊断为右脚脚骨骨折，住院7天在家休养100天康复，造成一人损工事故。"/>
    <hyperlink ref="D181" r:id="rId_hyperlink_176" tooltip="污水处理车间深度处理加药间配电箱内线路老化，接线头处氧化部分断裂，一旦接线头处氧化断裂，造成深度处理装置停车。"/>
    <hyperlink ref="D182" r:id="rId_hyperlink_177" tooltip="南冷凝泵房高压氨水泵进口管道有砂眼，导致高温氨水泄露，烫伤冷凝操作工脸部，送医治疗五天后复工。"/>
    <hyperlink ref="D183" r:id="rId_hyperlink_178" tooltip="一名操作工清理受煤斗的积煤时，被地面上露出的钢筋绊倒，造成右小腿受伤，送医敷药包扎，回家休养五天复工。"/>
    <hyperlink ref="D184" r:id="rId_hyperlink_179" tooltip="一筛焦楼操作工在查看焦仓料位时，脚站在焦仓盖板上，因盖板年久腐烂变型，不慎将盖板踩翻坠入焦仓，发现后紧急救出送医"/>
    <hyperlink ref="D185" r:id="rId_hyperlink_180" tooltip="维修工检修熄焦车斗，上下爬梯时由于爬梯变形没有扶手，手未抓牢，跌落至3米高的地面，腰部跌落在道轨上，及时送医治疗，确诊为腰椎3节骨折，住院治疗一个月，回家休养六个月复工"/>
    <hyperlink ref="D186" r:id="rId_hyperlink_181" tooltip="西四岗位一名员工在巡检时，发现2号配料称的配重铁缺一销子，一旦脱落会划伤皮带，容易造成设备隐患事故。"/>
    <hyperlink ref="D187" r:id="rId_hyperlink_182" tooltip="一人给转动的无防护罩的联轴器注油时，人员右胳臂衣袖过长不慎被联轴器卷入，越卷越紧，最后连同右胳臂一同卷入当场被挤碎，幸亏同伴及时发现停车将其送医，经手术后切除右臂，住院三个月后回家修养，失去工作能力。"/>
    <hyperlink ref="D188" r:id="rId_hyperlink_183" tooltip="焦四后尾缺少护栏，操作工清理卫生，在清理过成中不慎被皮带滚筒卷入衣服，在拖拽时手臂被卷入造成伤害，送入医院被确诊手臂骨裂脱臼，住院治疗三个月，回家修养五个月。"/>
    <hyperlink ref="D189" r:id="rId_hyperlink_184" tooltip="初冷器二层平台地面有油污，如果一名操作工冲洗初冷器时，走到二层平台油污处，滑倒，膝盖与手部轻微磕伤，去医务室简单包扎，返工"/>
    <hyperlink ref="D190" r:id="rId_hyperlink_185" tooltip="脱铵二楼除尘器放水管过高，无过挢，无安全警示，一名脱硫巡检工在巡检时不慎被绊倒造成左胳膊前臂骨折，入院治疗。"/>
    <hyperlink ref="D191" r:id="rId_hyperlink_186" tooltip="化产车间南风机操作人员在电捕下面操作时，三层平台有杂物，如果平台杂物掉落，砸到操作人员身上，造成一名操作人员肩部受伤，送医诊断，肩部轻微伤，误工5天。"/>
    <hyperlink ref="D192" r:id="rId_hyperlink_187" tooltip="南风机1号电捕绝缘箱蒸汽出口管有漏点，导致蒸汽泄露，如果一名操作工经过此处时被蒸汽烫伤左腿，送医务室上药后，正常上班。轻微烫伤。"/>
    <hyperlink ref="D193" r:id="rId_hyperlink_188" tooltip="一操作工在夜间下爬梯时，因此处未有照明灯不惧左脚踩空跌落在爬梯下面，导致腰部撞到除尘风机电机底座上，及时送医院检查诊断为腰部三节腰椎骨骨折，住院治疗1个月后回家休养3个月复工。"/>
    <hyperlink ref="D194" r:id="rId_hyperlink_189" tooltip="架空蒸汽管道开关阀门未设操作爬梯及平台"/>
    <hyperlink ref="D195" r:id="rId_hyperlink_190" tooltip="梯子在使用后没有及时放在指定安全位置"/>
    <hyperlink ref="D196" r:id="rId_hyperlink_191" tooltip="3#站洗涤塔处电缆桥架盖板被风吹松动，当操作人员到现场进行巡检时未注意，盖板掉落，砸中人员头部，因佩戴安全帽，人员受到轻微惊吓，休息一会不影响工作。"/>
    <hyperlink ref="D197" r:id="rId_hyperlink_192" tooltip="锅炉主控室操作人员在日常行走时不慎踩空破裂地板，受到惊吓，继续工作"/>
    <hyperlink ref="D198" r:id="rId_hyperlink_193" tooltip="空调冷凝水未引入排水沟造成地面打滑巡查人员摔倒受伤"/>
    <hyperlink ref="D199" r:id="rId_hyperlink_194" tooltip="煤棚支架焊接处断裂，有可能造成受力不均，甚至掉落造成人员伤害。"/>
    <hyperlink ref="D200" r:id="rId_hyperlink_195" tooltip="两盐东大门顶部彩钢瓦腐蚀断裂，如果夜间在视线不良的情况下，一名操作工巡检经过此处，有可能会被掉落的彩钢瓦划伤面部，经医务室简单处理后复工。"/>
    <hyperlink ref="D201" r:id="rId_hyperlink_196" tooltip="两盐东大门因滑轨腐蚀脱落，如果一名操作工巡检时不注意经过此处，有可能会被脱落的大门砸中身体，造成腿部及肋骨多处骨折。"/>
    <hyperlink ref="D202" r:id="rId_hyperlink_197" tooltip="脱硫塔西侧弃用铁管未按要求放置，如果在夜间大风天气一名操作工巡检时经过此处，有可能会被大风吹倒的铁管砸中脚部，造成脚部轻微红肿"/>
    <hyperlink ref="D203" r:id="rId_hyperlink_198" tooltip="西五皮带机下部缺失一个托辊，运行中容易造成皮带磨损撕裂"/>
    <hyperlink ref="D204" r:id="rId_hyperlink_199" tooltip="外包工在初冷器切割螺栓时火星掉落引起可燃物着火，操作工及时用灭火器扑灭"/>
    <hyperlink ref="D205" r:id="rId_hyperlink_200" tooltip="东二彩钢包边腐蚀脱落 人员经过时 包边掉落 砸到身上划破右肩膀 送医院包扎 在家修养一星期"/>
    <hyperlink ref="D206" r:id="rId_hyperlink_201" tooltip="二号煤厂料斗篦子处钢筋翘起 人员经过时没注意脚下被绊倒 扭伤右脚脚踝 休息一会 不影响工作"/>
    <hyperlink ref="D207" r:id="rId_hyperlink_202" tooltip="1618破碎机手动吊葫芦盖子掉落 操作工经过时 砸到头上造成轻微脑震荡 送医院治疗住院20天 在家修养一个月"/>
    <hyperlink ref="D208" r:id="rId_hyperlink_203" tooltip="一名巡检工巡检时走到输煤通廊底部时，因输煤通廊老化严重，从输煤通廊底部掉下块水泥块砸中头部，当场死亡！"/>
    <hyperlink ref="D209" r:id="rId_hyperlink_204" tooltip="天车抓斗副绳因挤压变形断丝，夜班上煤操作工未发现，在小煤时副绳断裂造成天车无法使用12小时。"/>
    <hyperlink ref="D210" r:id="rId_hyperlink_205" tooltip="南冷凝2#洗涤泵机封漏水，若发现不及时，会造成氨水喷溅、环境污染，使巡检人员烫伤、中毒，住院治疗7天。"/>
    <hyperlink ref="D211" r:id="rId_hyperlink_206" tooltip="西一通廊包边脱落到一路过职工左肩，造成左肩轻微伤，经医生检查没有问题。"/>
    <hyperlink ref="D212" r:id="rId_hyperlink_207" tooltip="1#风机偶合器进油、出油温度偏高，经检查油冷却器内部水垢多，造成升高起不到冷却作用，假如油温持续升高，导致偶合器损坏，风机停车，集气道无法调节，造成市地媒体报道，焦炉冒烟环保事故。"/>
    <hyperlink ref="D213" r:id="rId_hyperlink_208" tooltip="循环水新凉水架爬梯护栏锈蚀损坏，如果一名操作工在下爬梯时不注意，被右侧锈蚀的护栏划伤右腿，轻微人身伤害，不影响工作"/>
    <hyperlink ref="D214" r:id="rId_hyperlink_209" tooltip="排水沟盖板缺失，一职工在巡检时不慎掉掉入，导致右小腿外侧骨折，住院治疗30天痊愈，回家休养60天，损工9O天。"/>
    <hyperlink ref="D215" r:id="rId_hyperlink_210" tooltip="75t锅炉吹灰器上放置一铁盖板，离地面约20米，操作工在经过下方时，盖板被大风刮下削中颈部倒地，送医院抢救"/>
    <hyperlink ref="D216" r:id="rId_hyperlink_211" tooltip="3号料口水泥地面钢筋外露   一人员经过是不慎被外露的钢筋绊倒   扭伤右脚脚踝   休息一会不影响工作"/>
    <hyperlink ref="D217" r:id="rId_hyperlink_212" tooltip="废气拉条过松，在交换过程中若链条从链轮上脱落，造成废气无法交换，停止加热进行抢修2小时。"/>
    <hyperlink ref="D218" r:id="rId_hyperlink_213" tooltip="一管道高出集气管操作平台20公分无防护和警示标识，一操作工夜间经过此处时不慎被绊倒，左手臂磕到顺水槽上造成骨折"/>
    <hyperlink ref="D219" r:id="rId_hyperlink_214" tooltip="熄焦道轨西侧水泥墙面剥离，若一操作工清扫卫生时，墙面恰巧掉落到右腿上划伤脚踝，经医务室包扎后休息10天，"/>
    <hyperlink ref="D220" r:id="rId_hyperlink_215" tooltip="2#初冷器在进行夜间冲洗过程中，一名操作工在经过此处时，由于夜间视线不佳，可能会被电源开关盒上的螺丝划伤，造成左手臂轻微划伤，经简单处理，不影响工作"/>
    <hyperlink ref="D221" r:id="rId_hyperlink_216" tooltip="煤十料仓篦子腐蚀损坏，操作工在清理篦子上垃圾时由于身体前倾过大倒在篦子上，造成右手臂划伤送医务室包扎回家休息一星期后康复！"/>
    <hyperlink ref="D222" r:id="rId_hyperlink_217" tooltip="煤九东平台护栏开焊，操作工在清理卫生时不慎滑倒在开焊位置身体窜出护栏跌至二十米地面，送医院后抢救无效死亡！"/>
    <hyperlink ref="D223" r:id="rId_hyperlink_218" tooltip="一名操作工站在2米左右除尘电机齿轮箱旁加油时不慎掉下来造成左小腿腿骨折其他人员找来木板给伤者简单固定后，及时送往医院就医。"/>
    <hyperlink ref="D224" r:id="rId_hyperlink_219" tooltip="2#脱硫塔取样管腐蚀坏存在坠落危险，假如人员从下面经过，取样管突然坠落，可能会造成人员右臂砸伤骨折，住院15天，休养3个月后复工。"/>
    <hyperlink ref="D225" r:id="rId_hyperlink_220" tooltip="一名操作工巡检下爬梯时，因爬梯陡，脚底打滑不慎踩空跌落下来摔伤又小腿，送医检查腿骨骨折，住院治疗一月，休息一月。"/>
    <hyperlink ref="D226" r:id="rId_hyperlink_221" tooltip="煤八涨紧轴承运行中异响损坏，瞬时停带时负荷倒带，胶带偏离磨损易撕裂，造成设备损坏装置停工。"/>
    <hyperlink ref="D227" r:id="rId_hyperlink_222" tooltip="干熄车接焦操作时，若掉出的红焦从缺少防护网处，掉入通廊内恰巧掉到在此清扫卫生的一名职工脖子上，送医院治疗一天休养七天。"/>
    <hyperlink ref="D228" r:id="rId_hyperlink_223" tooltip="水沟盖板破损，一职工在经过水沟时，右脚不慎踩到盖板，盖板断裂右脚掉入水沟，被断裂的盖板挤伤，经医院检查右腿小腿肌肉划伤，休息3天"/>
    <hyperlink ref="D229" r:id="rId_hyperlink_224" tooltip="集箱保温岩棉铝皮脱落，一名操作工巡检经过时，被铝皮划伤。"/>
    <hyperlink ref="D230" r:id="rId_hyperlink_225" tooltip="旡警示牌，无防护"/>
    <hyperlink ref="D231" r:id="rId_hyperlink_226" tooltip="北风机电铺水封槽防雨棚顶部有一废弃电缆盖板，如果一操作工从防雨棚下经过，大风把电缆盖板刮下来，砸中人员左脚造成骨裂，住院十天，损工九十天。"/>
    <hyperlink ref="D232" r:id="rId_hyperlink_227" tooltip="送煤车顶部看杆平台处有一废弃焊接件，一操作工在下平台时，不慎绊倒摔至捣固平台，肋处横担在了平台棱上受伤，随即送医，经诊断为左侧两肋骨骨折，住院治疗7天，回家休养83天后上班"/>
    <hyperlink ref="D233" r:id="rId_hyperlink_228" tooltip="因施工单位没有把地面杂物及时清走晚上光线黑暗时如果操作工巡检时被绊倒导致面部磕碰伤肩关节脱臼多处软组织挫裂伤住院治疗2天在家休养3天后康复"/>
    <hyperlink ref="D234" r:id="rId_hyperlink_229" tooltip="冷凝泵房循环氨水管道有漏点，造成高温氨水喷溅外泄，造成环境污染，冷凝操作工在夜间巡检过程中未带好防护面罩，被高温氨水喷溅到脸部，送医治疗，休养六天后复工"/>
    <hyperlink ref="D235" r:id="rId_hyperlink_230" tooltip="化学水北地沟断裂巡检至此不小心掉入沟中至小腿骨折"/>
    <hyperlink ref="D236" r:id="rId_hyperlink_231" tooltip="污水池因缺失盖板，一操作工清理卫生时左腿不慎跌入池内，导致该人左脚脚踝受伤，经医生治疗在家休养7天。造成一人损工事故。"/>
    <hyperlink ref="D237" r:id="rId_hyperlink_232" tooltip="1#溶液换热器北接地装置凸起，假如一名操作工巡检经过此处时可能被绊倒，造成膝盖软组织损伤，回家休养十天后复工"/>
    <hyperlink ref="D238" r:id="rId_hyperlink_233" tooltip="新化学水二楼地面有杂物，一名巡检工在巡检时，不小心绊倒，右前臂摔伤，送医院救治。"/>
    <hyperlink ref="D239" r:id="rId_hyperlink_234" tooltip="复用水池爬梯踏板长时间腐蚀破损严重铁板变薄，一操作工上下爬梯时踏破破损处跌倒，造成膝盖、手掌处擦伤，医务室涂抹药水后恢复正常工作。"/>
    <hyperlink ref="D240" r:id="rId_hyperlink_235" tooltip="预处理污泥螺杆泵防护罩未在有效位置，一名职工手拿纱布擦拭转动设备时，纱布被联轴器卷入，造成右手食指中指扭伤，住院治疗7天在家修养1个月。"/>
    <hyperlink ref="D241" r:id="rId_hyperlink_236" tooltip="南冷凝泵房循环氨水泵机械密封泄露，一旦泄露扩大，就会造成环境污染，冷凝操作工在巡检过程中可能会被高温氨水烫伤腿部，送医院治疗，休养治疗五天后复工。"/>
    <hyperlink ref="D242" r:id="rId_hyperlink_237" tooltip="拦焦平台北头接地电极扁铁翘起，此处无照明，夜班一名员工巡检时没有留意脚下凸起物，被翘起的扁铁绊倒导致右胳膊摔在道轨上受伤，随即送医就诊。经医生诊断为右胳膊骨折，治疗一周在家休养三个月后复工。"/>
    <hyperlink ref="D243" r:id="rId_hyperlink_238" tooltip="预处理水解酸化池北侧走道残留一废旧管口，一名操作工在巡检过程中，不慎被管口绊倒，左脚腕扭伤，行走困难，休息五天"/>
    <hyperlink ref="D244" r:id="rId_hyperlink_239" tooltip="供蒸馏蒸汽管道疏水未保温，巡检人员巡检时不慎烫伤"/>
    <hyperlink ref="D245" r:id="rId_hyperlink_240" tooltip="MVR南侧墙体，墙皮风化亀裂往下掉水泥块，操作工在经过下方时，被掉落的水泥块砸伤，休息片刻后继续工作。"/>
    <hyperlink ref="D246" r:id="rId_hyperlink_241" tooltip="煤棚顶部通风口因大风致其损坏脱落，致使一操作工左肩骨折，住院治疗半个月，在家休养2个月后复工"/>
    <hyperlink ref="D247" r:id="rId_hyperlink_242" tooltip="两盐南侧大门脱轨滑落，斜靠在门外墙体上，大风天气，操作工被刮倒的大门砸伤腿部，腿部骨折，送往医院治疗，一个月后康复出院。"/>
    <hyperlink ref="D248" r:id="rId_hyperlink_243" tooltip="东四一号称刮煤板配重铁开焊，操作工在巡检时经过，砸伤脚面，造成人员伤害。"/>
    <hyperlink ref="D249" r:id="rId_hyperlink_244" tooltip="西硫铵卸酸槽护栏门损坏，外来人员卸酸时不慎摔倒跌入深3米卸酸低位槽，安全帽未佩戴规范，造成左胳膊骨折，左侧肋骨骨折3根，送医后住院治疗1个月！限工2月！，"/>
    <hyperlink ref="D250" r:id="rId_hyperlink_245" tooltip="20米高的彩钢瓦开裂松动未固定，受风力、震动等环境因素影响,造成彩钢瓦坠落，受高处坠落的冲击力，巡检人员从此经过砸到头部死亡。"/>
    <hyperlink ref="D251" r:id="rId_hyperlink_246" tooltip="初冷器一层平台竖梯4m高没有护笼，如果操作工上爬梯时坠落，左小腿骨折，住院治疗一月回家休息两月，损工三个月。"/>
    <hyperlink ref="D252" r:id="rId_hyperlink_247" tooltip="机侧1号负压管道下方照明灯安装过低，假如送煤车行走时一名职工恰好站在照明灯下部位置，头部撞在照明灯上。"/>
    <hyperlink ref="D253" r:id="rId_hyperlink_248" tooltip="一名操作工擦拭灯罩未设监护人扶梯子，独自一人踩梯子作业，擦拭中身体转动时梯子滑倒，身体跌落地面，送医院检查：右脚脚踝扭伤，住院5天，在家休养1个月"/>
    <hyperlink ref="D254" r:id="rId_hyperlink_249" tooltip="操作工在清理完西五下料筒观察孔内积煤时，用完的钎子放在平台顶部，在下料筒振动电机的使用中，一旦钎子随着振动坠落砸伤巡检人员身上，造成该员工右肩软组织损伤，在家休养3天康复。"/>
    <hyperlink ref="D255" r:id="rId_hyperlink_250" tooltip="皮带机护栏套管缺失，一职工在清理皮带机卫生时用小拖把擦拭护栏，拖把不慎卷入滚筒，被拖把杆打伤手臂，造成损工事故"/>
    <hyperlink ref="D256" r:id="rId_hyperlink_251" tooltip="操作人员开煤气放散阀门时因未安装平台，不慎从高处坠落。"/>
    <hyperlink ref="D257" r:id="rId_hyperlink_252" tooltip="深度处理加药间盐酸压力表前活节垫子坏漏液，如果不及时处理泵子开启，操作人员巡检经过会造成人员被盐酸轻微灼伤事故，损工三天。"/>
    <hyperlink ref="D258" r:id="rId_hyperlink_253" tooltip="一行人经过此处时，下料筒上方一坠落物掉落砸中头部，有安全帽防护未造成人员伤害。"/>
    <hyperlink ref="D259" r:id="rId_hyperlink_254" tooltip="南风机房西侧煤气管道改造现场有一管道未加固支撑点，如果施工人员从此处经过支撑点突然折断正好砸伤施工人员的右脚，造成右脚指粉碎性骨折，送医住院治疗一个月，在家休养五个月，共损工180多天。"/>
    <hyperlink ref="D260" r:id="rId_hyperlink_255" tooltip="7#水池盖板未盖严，一操作工在巡检时不慎右腿跌入擦伤，休息会继续工作。"/>
    <hyperlink ref="D261" r:id="rId_hyperlink_256" tooltip="水熄车爬梯缺少防护笼，一维修工在检修设备时，脚底打滑踏空，从高处坠落小腿与铁器撞击，造成小腿骨折，送医治疗。"/>
    <hyperlink ref="D262" r:id="rId_hyperlink_257" tooltip="筛焦楼地面环境除尘，电机平台因无防护栏，操作工在擦拭设备时，不慎从两米多高的平台跌落，造成小腿骨折，送医救治。"/>
    <hyperlink ref="D263" r:id="rId_hyperlink_258" tooltip="因焦四机尾通廊爬梯踏板腐蚀脱落，一操作工在巡检时，不慎踏空造成脚踝扭伤，就医治疗。"/>
    <hyperlink ref="D264" r:id="rId_hyperlink_259" tooltip="夜间送煤车巡检人员在巡检过程中，由于盖板缺失，不慎跌落，造成小腿重伤，送医救治。"/>
    <hyperlink ref="D265" r:id="rId_hyperlink_260" tooltip="推焦车车载除尘护栏矮，操作工在进行布袋清理时脚底磕绊翻越护栏坠落，头部着地，当场昏迷，送医抢救。"/>
    <hyperlink ref="D266" r:id="rId_hyperlink_261" tooltip="拦焦车滑触线绝缘瓷瓶坏，滑触线落于接地线上，造成拦焦断电，抢修两个小时。"/>
    <hyperlink ref="D267" r:id="rId_hyperlink_262" tooltip="外协施工单位吊笼内存有铆钉及彩钢板边角料，若起吊后内部杂物被施工人员踩碰自吊笼周边空隙掉落，恰巧击中施工去下方1名协助备料施工人员背部。"/>
    <hyperlink ref="D268" r:id="rId_hyperlink_263" tooltip="西三门口上照明灯损坏 操作工夜班巡查时看不清脚下被绊倒扭伤右脚脚踝 休息一会不影响工作"/>
    <hyperlink ref="D269" r:id="rId_hyperlink_264" tooltip="西四潜水泵电源线未套管 电源线被窗子挤破线皮 操作工使用时挪泵 不慎碰触到破损处 触电摔倒擦伤手掌 去医务室包扎在家休息两天"/>
    <hyperlink ref="D270" r:id="rId_hyperlink_265" tooltip="西硫铵氨气管道阀门垫子坏漏氨气，如果发现不及时，操作工巡检时造成身体不适，轻微中毒住院三天休息四天后上班。"/>
    <hyperlink ref="D271" r:id="rId_hyperlink_266" tooltip="35T锅炉取样间隔断固定不牢，密封条脱落致倾到致取样操作工砸伤"/>
    <hyperlink ref="D272" r:id="rId_hyperlink_267" tooltip="装煤车平煤机架接头断裂无法平煤，装煤时浮煤掉落太多造成烟气过大"/>
    <hyperlink ref="D273" r:id="rId_hyperlink_268" tooltip="循环槽北通道放置催化剂处包装带散落在地面上，一名巡检工走到此处被包装带拌倒，手臂着地，送医院拍片检查手腕脱臼，经过治疗回家休养"/>
    <hyperlink ref="D274" r:id="rId_hyperlink_269" tooltip="深度脱硫4#熔硫釜回液管线腐蚀蒸汽泄露，假如一名操作工再开关阀门时被泄漏的蒸汽烫伤左脸，送医院治疗20天后正常上班损工20天"/>
    <hyperlink ref="D275" r:id="rId_hyperlink_270" tooltip="操作人员在巡检过程中被管架上部的废旧手柄掉落砸中肩部，送医院查看"/>
    <hyperlink ref="D276" r:id="rId_hyperlink_271" tooltip="维修压滤机房小井潜水泵时盖板未盖，一名操作工在操作时，不小心掉入小井淹溺身亡"/>
    <hyperlink ref="D277" r:id="rId_hyperlink_272" tooltip="刮煤板未及时复位，一职工途经时，不慎被绊倒受伤，送医院检查确诊为右小臂骨折，住院治疗15天，回家休养90天后复工。"/>
    <hyperlink ref="D278" r:id="rId_hyperlink_273" tooltip="施工现场使用的液化气瓶未加防震圈，使用中歪倒受震爆炸，一施工人员受伤昏迷，送医院抢救无效死亡"/>
    <hyperlink ref="D279" r:id="rId_hyperlink_274" tooltip="4#料口周边钢筋外露，一人在清完料口往下走的过程中，被外露的钢筋绊倒，头向下俯地而倒，造成脸部左侧擦伤，消毒休息后继续工作。"/>
    <hyperlink ref="D280" r:id="rId_hyperlink_275" tooltip="有一根长约三米50Ф铁管搭建在西满流槽顶部，如果大风天气铁管被吹落，砸伤正在此处巡检的操作人员，造成人员头部受击后昏迷，送医院检查脑部有大量淤血，住院治疗一月后康复"/>
    <hyperlink ref="D281" r:id="rId_hyperlink_276" tooltip="脱硫塔煤气管线平台护兰损坏，一名操作工在上平台开关阀门，由于护栏损坏，不慎跌落，导致身体多处骨折，立即就医。"/>
    <hyperlink ref="D282" r:id="rId_hyperlink_277" tooltip="液碱罐爬梯无护栏，没有固定，一职工下去清理卫生，不慎摔下爬梯，送医确诊右腿骨折，住院15天，回家休养三个月。复工"/>
    <hyperlink ref="D283" r:id="rId_hyperlink_278" tooltip="液碱罐爬梯无护栏，没有固定，一职工下去清理卫生，不慎摔下爬梯，送医确诊右腿骨折，住院15天，回家休养三个月。复工"/>
    <hyperlink ref="D284" r:id="rId_hyperlink_279" tooltip="西五一盏照明灯损坏 夜班操作工巡查时 脚下光线暗不慎被绊倒 扭伤左脚脚踝休息一会不影响工作"/>
    <hyperlink ref="D285" r:id="rId_hyperlink_280" tooltip="两盐西侧水沟盖板缺失，夜间巡检人员经过时不慎掉入，造成右脚脚踝扭伤，送医治疗，在家修养3天复工。"/>
    <hyperlink ref="D286" r:id="rId_hyperlink_281" tooltip="吸氨罐区浓氨槽取样点阀门内漏，一操作工室外取样分析过程中，由于取样点阀门内漏关闭不严导致浓氨水溅到身上，简单处理后立即复工。"/>
    <hyperlink ref="D287" r:id="rId_hyperlink_282" tooltip="3#离心机推料盘螺丝缺失，在离心机开车时造成布料斗震动脱落，将一操作工腿部击伤，入院治疗经医生诊断需住院治疗3天在家休养7天。"/>
    <hyperlink ref="D288" r:id="rId_hyperlink_283" tooltip="离心吊装平台盖板未恢复到有效位置，平台盖板坠落将楼下走廊一操作工腿部砸伤，立即送往医院救治，经医院诊断腿部骨折需住院治疗10天在家休养90天。"/>
    <hyperlink ref="D289" r:id="rId_hyperlink_284" tooltip="深度处理加药间盐酸管道活节密封圈坏漏液，致使操作人员巡检时面部被盐酸轻微灼伤损工三天。"/>
    <hyperlink ref="D290" r:id="rId_hyperlink_285" tooltip="碳化一楼处地沟盖板未盖严未起到防护作用，操作工室外巡检时不慎踩空将其脚部扭伤，入院治疗，经医生诊断脚腕骨扭伤需住院治疗2天在家休养4天。"/>
    <hyperlink ref="D291" r:id="rId_hyperlink_286" tooltip="吸氨储备槽入口管线泄漏氨水，一操作工室外操作不慎氨水溅到眼部，大量清水冲洗之后入院治疗，经医院诊断眼部软组织灼伤需在家休养7天"/>
    <hyperlink ref="D292" r:id="rId_hyperlink_287" tooltip="包装机电机接线盒脱落，由于线盒脱落漏电一名操作工操作过程中被电击伤倒地，其他操作人员发现立即切断电源将其移至安全区域，进行心肺复苏并送医院进行抢救，入院抢救无效死亡。"/>
    <hyperlink ref="D293" r:id="rId_hyperlink_288" tooltip="两盐搅拌器处有蒸汽横管，假如一名操作工在夜间操作时由于灯光视线不足就会被蒸汽横管烫伤右臂，送医务室上药后正常上班。轻微烫伤。"/>
    <hyperlink ref="D294" r:id="rId_hyperlink_289" tooltip="化验室通风橱内电线接头处电气胶带老化松动不粘，旁边冷却水管漏水使接头处进水漏电，化验员擦拭时触电，造成右手手指发麻，触电部位疼痛，休息一会不影响工作。"/>
    <hyperlink ref="D295" r:id="rId_hyperlink_290" tooltip="操作室北路口【禁止通行】栏杆一端放在路旁路牙石上，假如一名操作工经过此处，栏杆倾倒正好砸在其右脚上，送医务室简单处理，脚面肿痛，行动不便，在家休息五日。"/>
    <hyperlink ref="D296" r:id="rId_hyperlink_291" tooltip="2＃站8000m3提升泵线管老化导致电缆裸露，操作人员在进行开停泵时触电，送医经诊断触电死亡。"/>
    <hyperlink ref="D297" r:id="rId_hyperlink_292" tooltip="深度处理反渗透装置，配电箱内尘土过多，高压泵变频器无法散热烧坏，导致反渗透两套装置无法启动，后序污水无法处理。引起安全环保事故，公司通报批评。"/>
    <hyperlink ref="D298" r:id="rId_hyperlink_293" tooltip="一名维修工在检修煤气水封吋，因移动爬梯没设监护人，爬梯侧滑，致维修工从3米高处摔落地面受伤，送医院检查确诊为左小腿骨折，住院治疗10天，回家休养90天后复工。。"/>
    <hyperlink ref="D299" r:id="rId_hyperlink_294" tooltip="一名员工在采用两个凳子摞叠作业时，因无人监护不慎翻落，导致右臂受伤，送医确诊为右小臂骨折，住院治疗15天，回家休养90天后复工，"/>
    <hyperlink ref="D300" r:id="rId_hyperlink_295" tooltip="液氨罐区南侧地沟盖板破损，一名巡检人员在夜班巡检时，因视线不良，踩在破损盖板上，不慎将脚腕扭伤，造成脚部红肿，行走不便，送医务室处理，休息一天后复工。"/>
    <hyperlink ref="D301" r:id="rId_hyperlink_296" tooltip="东四南侧吊装门未关，一名操作工经过爬梯时，头部碰到门上，跌落爬梯造成左腿小腿骨折，住院治疗10天，回家休养2个月。"/>
    <hyperlink ref="D302" r:id="rId_hyperlink_297" tooltip="对讲机垫着本子等易燃物充电，由于线路老化漏电，将可燃物引燃，进而引发了火灾。"/>
    <hyperlink ref="D303" r:id="rId_hyperlink_298" tooltip="扳手用完未定置摆放，斜放在桌子边缘。一员工经过时，不慎将扳手蹭落，砸伤右脚。送医院检查，右脚小指骨折，住院10天，在家修养3个月"/>
    <hyperlink ref="D304" r:id="rId_hyperlink_299" tooltip="轴流风机管道破裂，造成当焦炉地下室煤气泄漏时无法正常排出室外"/>
    <hyperlink ref="D305" r:id="rId_hyperlink_300" tooltip="西硫铵二楼平台蒸汽阀门垫子损坏冒蒸汽，如果操作人员在操作时烫伤腿部，在家修养三天恢复，造成一人损工事故"/>
    <hyperlink ref="D306" r:id="rId_hyperlink_301" tooltip="一名职工巡检时发现硫酸计量泵处地面有液体泄漏并伴有刺激性气味导致呼吸困难"/>
    <hyperlink ref="D307" r:id="rId_hyperlink_302" tooltip="东五清扫器挡皮磨损严重，在设备运转过程中划伤皮带，当班维修正常使用。造成财产损失2000元。"/>
    <hyperlink ref="D308" r:id="rId_hyperlink_303" tooltip="煤十料仓通风管道防雨罩螺丝松动，高空坠落一人经过砸伤，送医院检查，右肩胛骨骨折，住院治疗15天，在家休养两个月康复。"/>
    <hyperlink ref="D309" r:id="rId_hyperlink_304" tooltip="煤六后尾清扫器固定杆脱落，清理积煤一操作工挤伤手背"/>
    <hyperlink ref="D310" r:id="rId_hyperlink_305" tooltip="旋转密封阀东墙氧气报警仪配电箱门锁坏，无法关闭，巡检人员巡检时右手触碰电源，造成右手电灼伤，送医治疗。"/>
    <hyperlink ref="D311" r:id="rId_hyperlink_306" tooltip="一人违章作业，站在篦子上投煤，左脚踩蹭整支左腿陷入篦子孔中，造成左腿根部擦伤，休息一会儿继续工作。"/>
    <hyperlink ref="D312" r:id="rId_hyperlink_307" tooltip="二次除尘爬梯未安装防滑条，巡检人员下爬梯时脚底打滑，从爬梯上滑落，造成右脚扭伤，送医治疗。"/>
    <hyperlink ref="D313" r:id="rId_hyperlink_308" tooltip="终冷器南电缆桥架上有杂物铁件，可能会造成一名操作工在巡检此处时，因风险源辨识不足由高处坠落的铁件击伤头部"/>
    <hyperlink ref="D314" r:id="rId_hyperlink_309" tooltip="开老化学水蒸气阀门时由于开的过大不慎造成手臂大面积灼伤严重"/>
    <hyperlink ref="D315" r:id="rId_hyperlink_310" tooltip="西五胶带机后尾托辊磨损"/>
    <hyperlink ref="D316" r:id="rId_hyperlink_311" tooltip="临时电源没有插座一维修工在送电时不小心被电伤，送医救治鉴定为轻微灼伤"/>
    <hyperlink ref="D317" r:id="rId_hyperlink_312" tooltip="防爆区域内信号线防护套管损坏，使线缆失去保护作用，造成线缆损坏，出现事故不能及时报警或误报。"/>
    <hyperlink ref="D318" r:id="rId_hyperlink_313" tooltip="干熄炉三层东侧护栏踢脚板开焊脱落，如遇大风天气刮落一铁件砸伤一行人，造成左肩受伤，送医治疗"/>
    <hyperlink ref="D319" r:id="rId_hyperlink_314" tooltip="液体二氧化碳在卸车时，一名操作人员在开启进口手动阀门时，阀门填料突然泄露，虽配戴防冻手套，但造成手腕部低温冻伤，立即送医务室进行清洁处理，外用冻疮膏，休息二天后复工。"/>
    <hyperlink ref="D320" r:id="rId_hyperlink_315" tooltip="平台踏板不牢，巡检人员检查除尘喷吹情况时，脚底踏板开裂，巡检人员从5米平台坠落至地面。"/>
    <hyperlink ref="D321" r:id="rId_hyperlink_316" tooltip="一级高压泵接触器保护套老化，失去保护作用，一旦短路一级反渗透停机，将会造成干熄焦锅炉负荷降低"/>
    <hyperlink ref="D322" r:id="rId_hyperlink_317" tooltip="通往循环槽爬梯铁板腐蚀严重，如果长时间未发现，可能造成铁板进一步腐蚀，承重能力差，操作人员巡检到此造成人员腿部踏空擦伤，简单处理后可继续工作。"/>
    <hyperlink ref="D323" r:id="rId_hyperlink_318" tooltip="一操作工在清理卫生的过程中不慎跌进缺失护栏的东四机头下料口造成左手骨折住院治疗一个月回家修养两个月"/>
    <hyperlink ref="D324" r:id="rId_hyperlink_319" tooltip="硫酸容器未放置安全位置，分析员在分析过程中触碰到硫酸容器，容器跌落硫酸溶液溅到身上简单处理后就医，医生诊断腿部软组织轻度灼伤简单包扎后复工。"/>
    <hyperlink ref="D325" r:id="rId_hyperlink_320" tooltip="风机房内二层平台多处灯泡不亮，视线不亮，职工夜间巡检不慎绊倒，造成手臂擦伤。"/>
    <hyperlink ref="D326" r:id="rId_hyperlink_321" tooltip="除铁器未设防护罩，员工工作时不慎将右手食指卷入皮带机轮，送医院确诊右手食指骨折，住院治疗30天，在家休养92天后康复"/>
    <hyperlink ref="D327" r:id="rId_hyperlink_322" tooltip="100立方米液氨储槽平台铺板缺失，维修人员平台作业时不小心一脚踏入，造成小腿损伤，住院治疗后，回家休息10天。"/>
    <hyperlink ref="D328" r:id="rId_hyperlink_323" tooltip="煤仓料位窥视孔无遮拦，一巡检工巡检时不慎坠落导致脚踝脱臼。医院就医，居家休养7天，损工7天。"/>
    <hyperlink ref="D329" r:id="rId_hyperlink_324" tooltip="北蒸氨塔底部放空阀泄漏蒸汽，一名操作工靠近废水槽，观察液位时，被蒸汽灼伤面部皮肤，去医务室包扎治疗，并修养3天。"/>
    <hyperlink ref="D330" r:id="rId_hyperlink_325" tooltip="踩翻地沟篦子摔伤小腿骨折"/>
    <hyperlink ref="D331" r:id="rId_hyperlink_326" tooltip="新化水厂房南端灭火器喷管损坏，如果发生火灾，起不到灭火作用，易造成财产损失"/>
    <hyperlink ref="D332" r:id="rId_hyperlink_327" tooltip="巡检工巡检时如果未发现地沟篦子:烂了不慎踩上断裂造成人员伤害"/>
    <hyperlink ref="D333" r:id="rId_hyperlink_328" tooltip="一名操作工在挂横幅时，不慎跌落摔伤腿部，送医治疗，经医生确诊，右腿脚腕扭伤，住院治疗3天，回家休养2天后复工。"/>
    <hyperlink ref="D334" r:id="rId_hyperlink_329" tooltip="电捕水封槽管架处遇大风刮落一窗户框在管架处，如果操作工在管架下部开关阀门时可能会被窗户框坠落砸伤背部，送医院治疗3天后出院在家休养一个月复工。"/>
    <hyperlink ref="D335" r:id="rId_hyperlink_330" tooltip="东冷凝低位槽人孔未遮盖，一旦巡检人员在夜间巡检时，由于光线暗，一只脚踩空落入人孔内，被槽内的循环氨水烫伤，经医院处理，在家休养15天后康复，造成一人损工事故，一人损工15天天"/>
    <hyperlink ref="D336" r:id="rId_hyperlink_331" tooltip="2#电捕焦油器进口煤气管道与电捕连接处腐蚀严重，如果长期不进行处理，可能导致该处因腐蚀严重出现破损，电捕吸入空气含氧量超标发生爆炸，造成一名巡检经过此处的操作人员当场死亡。"/>
    <hyperlink ref="D337" r:id="rId_hyperlink_332" tooltip="南脱硫压滤机房南侧电缆桥架上有杂物，如果一名操作人员在大风天气巡检经过电缆桥架下方时，电缆桥架上杂物被大风吹落，造成一名巡检人员右手臂轻微划伤，经简单包扎后不影响正常工作。"/>
    <hyperlink ref="D338" r:id="rId_hyperlink_333" tooltip="西五手拉葫芦护盖松动 操作工巡查经过下面 护盖掉落砸到头上 操作工按规定穿戴安全帽没有受伤 休息一会不影响工作"/>
    <hyperlink ref="D339" r:id="rId_hyperlink_334" tooltip="东煤场挡风墙挡风网掉落 有人员从从下面经过时 挡风网掉落砸到头上 轻微脑震荡送医治疗住院10天 在家修养20天"/>
    <hyperlink ref="D340" r:id="rId_hyperlink_335" tooltip="焦渣掺配处减速机皮带轮护罩开焊 操作工经过时不慎衣服袖子被卷进去 造成右前臂骨折送医治疗住院一个月在家修养90天"/>
    <hyperlink ref="D341" r:id="rId_hyperlink_336" tooltip="一操作工在夜间巡检时，由于光线暗，一只脚踩空掉落管孔内，造成左脚小脚趾骨折，入院治疗15天，回家休养30天，造成一人损工事故"/>
    <hyperlink ref="D342" r:id="rId_hyperlink_337" tooltip="南脱硫操作室门框铁片翘起一名操作工不小心可是会被拌倒，可能造成手腕扭伤。"/>
    <hyperlink ref="D343" r:id="rId_hyperlink_338" tooltip="皮带机护栏缺失，一员工在清理机架卫生时，右手食指不慎被运行皮带机挤伤，送医院确诊骨折，住院治疗一个月，在家休养三个月，损工四个月。"/>
    <hyperlink ref="D344" r:id="rId_hyperlink_339" tooltip="涝坑盖板缺失，一名员工不慎将右脚滑入坑内，造成腿部受伤，送医确诊为小腿骨折，住院治疗一个月，在家休养三个月后复工。"/>
    <hyperlink ref="D345" r:id="rId_hyperlink_340" tooltip="机头下料口处防护栏缺失，一员工在清投下料槽时不慎掉入下料槽中，卡在胶带与下料槽出口处，被及时发现后停机救出，紧急送医后抢救无效死亡。"/>
    <hyperlink ref="D346" r:id="rId_hyperlink_341" tooltip="地沟盖板长时间暴露，受水的浸蚀，铁板腐烂，造成安全隐患。"/>
    <hyperlink ref="D347" r:id="rId_hyperlink_342" tooltip="2#站吸附间房顶北侧彩钢瓦脱落，如果一名操作人员在巡检过程中经过此处被掉落的彩钢瓦砸中，造成背部多处砸伤，送医处理后在家休息三天后复工。"/>
    <hyperlink ref="D348" r:id="rId_hyperlink_343" tooltip="2#站主副塔过桥护栏间隙过大，如果一名操作人员在雨雪天气巡检过程中经过此处不慎滑倒坠落，造成左小腿骨折，住院10天后在家休息三个月后复工。"/>
    <hyperlink ref="D349" r:id="rId_hyperlink_344" tooltip="西硫铵饱和器处有一蒸汽主管道阀门。由于阀头垫子坏，泄漏大量蒸汽，导致喷溅蒸汽热水。烫伤巡检人员腿部，送医院治疗。休养7天后复工。"/>
    <hyperlink ref="D350" r:id="rId_hyperlink_345" tooltip="深度处理工段盐酸加药间添加盐酸时会有酸雾挥发，长期的侵蚀造成部分阀门无法正常启停，部分管架锈断，四周彩钢板墙体生锈严重，造成经济损失2万余元"/>
    <hyperlink ref="D351" r:id="rId_hyperlink_346" tooltip="一名操作工在翻越现场管道开关阀门时，不慎绊倒摔伤，造成腿部轻微擦伤，简单处理后继续工作。"/>
    <hyperlink ref="D352" r:id="rId_hyperlink_347" tooltip="MVR管道泵电机风扇口堵塞，电机失去散热效果，烧毁管道泵，机封水不上量，影响其他电机正常使用。"/>
    <hyperlink ref="D353" r:id="rId_hyperlink_348" tooltip="一职工攀登爬梯清理刮板卫生，爬梯底部打滑倾倒，该职工不慎从两米高处跌落，左臂受伤，送医确诊，左小臂骨折，住院治疗20天，回家修养90天后复工。工"/>
    <hyperlink ref="D354" r:id="rId_hyperlink_349" tooltip="MVR2楼原料罐阀门漏夜，假如一名操作工夜间巡检时，由于灯光视线不足被流出原料液灼烫，造成胳膊和小腿多处灼伤，经及时处理后回家休息半天。轻微烫伤"/>
    <hyperlink ref="D355" r:id="rId_hyperlink_350" tooltip="东冷凝低位槽液下泵电机未加防雨罩，一旦雷雨天气，雨水进入电机，造成电机漏电，巡检人员巡检不小心触摸到电机，造成触电身亡。"/>
    <hyperlink ref="D356" r:id="rId_hyperlink_351" tooltip="西四岗位电缆杂乱摆放，夜间一操作工在巡检时，不慎绊倒，造成右腿轻微擦伤"/>
    <hyperlink ref="D357" r:id="rId_hyperlink_352" tooltip="煤十料仓篦子腐烂严重，操作工在清理篦子时，一只脚掉入篦子内，造成脚部骨折"/>
    <hyperlink ref="D358" r:id="rId_hyperlink_353" tooltip="涨紧护栏缺失，设备运转过程中一操作工在清理涨紧滚筒积煤时，左脚卷入被皮带与滚筒挤伤，送医院救治鉴定为左脚骨折，住院治疗20天在家休养100天后康复，造成一损工事故。"/>
    <hyperlink ref="D359" r:id="rId_hyperlink_354" tooltip="脱硫塔蒸汽管道悬挂一根废旧铁条，假如操作工在大风天气巡检经过此处时，不慎被掉落的铁条砸伤右臂，送往医务室诊治轻微伤，简单包扎后复工"/>
    <hyperlink ref="D360" r:id="rId_hyperlink_355" tooltip="除盐水站一楼加药间地面盖板破损，一员工巡检至此时，脚部不慎插入破损处摔倒，致使脚腕扭伤，送医务室处理后，回到岗位，可从事简单操作工作，未造成损工。"/>
    <hyperlink ref="D361" r:id="rId_hyperlink_356" tooltip="北循环水来两千方水池井盖未盖严，如果夜间一名操作工巡检经过此处时不小心踩空铁板可能会坠落水池内被淹溺，造成一人死亡事故"/>
    <hyperlink ref="D362" r:id="rId_hyperlink_357" tooltip="维修二号初冷器，折下的铝皮搭在了护栏上，如果一名操作工在巡检时，铝皮掉下来砸在了左胳膊上，造成皮肤划伤，到医务室治疗后，正常上班没有损工。"/>
    <hyperlink ref="D363" r:id="rId_hyperlink_358" tooltip="脱硫塔水封下液管管线铝皮破损，一名操作工在夜间巡检时不慎将脚踝处割伤，经医务室处理后休息三天。"/>
    <hyperlink ref="D364" r:id="rId_hyperlink_359" tooltip="维修人员更换循环水池补水阀后，未及时清走旧阀，假如夜班操作工巡检时被换下的阀门绊倒，造成面部轻度擦伤，经公司医务室包扎后返岗上班"/>
    <hyperlink ref="D365" r:id="rId_hyperlink_360" tooltip="碳化平台封头吊装作业过程中，电动葫芦开关未放置安全位置，控制开关被封头砸毁漏电，导致一拆装人员触电，送医院抢救无效死亡。"/>
    <hyperlink ref="D366" r:id="rId_hyperlink_361" tooltip="两盐一楼电缆桥架顶部漏雨可能造成一名操作人员在合闸照明过程中，因安全风险辨识能力不足，导致人体触电"/>
    <hyperlink ref="D367" r:id="rId_hyperlink_362" tooltip="两盐大棚内一移动平台爬梯因放置在杂物上，底部不平且未固定造成倾斜，可能造成一名操作人员因风险辨识不足停留在旁边，被倾倒的移动平台砸伤"/>
    <hyperlink ref="D368" r:id="rId_hyperlink_363" tooltip="粗苯北区地沟盖板缺失，可能造成一名操作工夜间巡检时因风险源辨识不足，导致陷落地沟小腿摔伤"/>
    <hyperlink ref="D369" r:id="rId_hyperlink_364" tooltip="循环水冷却塔风机电缆接头裸露，一员工在巡检风机时，手部不小心触碰裸露部位，造成该员工触电（电压380V），经送医抢救无效死亡。"/>
    <hyperlink ref="D370" r:id="rId_hyperlink_365" tooltip="中水浓缩加药间酸液管线与压力表连接的气体脉动阻尼器内的膜片破裂，使压力表的内件腐蚀，造成冒酸液，一名操作人员巡检时由于未佩带半面罩，使酸液溅到脸上，造成面部轻微灼伤，送医务室处理后在家休息三天复工。"/>
    <hyperlink ref="D371" r:id="rId_hyperlink_366" tooltip="西硫铵饱和器北蒸汽阀门泄漏大量蒸汽。导致一名巡检人员被热蒸汽水烫伤腿部，送医院治疗，损工7天。"/>
    <hyperlink ref="D372" r:id="rId_hyperlink_367" tooltip="一名巡检工在巡查盛有脱硫液的再生槽时，不小心踏入未在有效位置的人孔盖上，巡检工掉入再生槽，造成巡检工一人死亡。"/>
    <hyperlink ref="D373" r:id="rId_hyperlink_368" tooltip="西硫铵2＃大母液泵电机防护罩因长年使用腐蚀严重并破损，如果一名操作工在电机运转过程中擦拭破损的电机防护罩，右手可能被防护罩里面的风扇卷入其中导致右手食指跟中指被割掉，送医治疗一月，回家休养两月后康复。"/>
    <hyperlink ref="D374" r:id="rId_hyperlink_369" tooltip="氨水制备器液氨管线腐蚀严重压力增高高造成管线泄露液氨喷溅，一名操作工巡检经过此处眼睛和皮肤被液氨灼伤严重送医救治后眼睛失明，损工在家休养。"/>
    <hyperlink ref="D375" r:id="rId_hyperlink_370" tooltip="干熄炉五层到七层消防水管道截断未及时拆除，由于时间较长腐蚀严重从30高空掉落至地面砸中一名巡检人员，当场死亡"/>
    <hyperlink ref="D376" r:id="rId_hyperlink_371" tooltip="汽机房楼顶照明灯电线裸露，一员工巡检时从此经过，不慎触碰裸露电线，触电倒地，经现场心肺复苏后并送医抢救，经抢救无效死亡。"/>
    <hyperlink ref="D377" r:id="rId_hyperlink_372" tooltip="离心机在运转时一操作工用擦机布进行设备擦拭导致抹布被离心机运转皮带卷入操作工手跟着卷入导致两个手指折断，送医治疗三个月在家休养一年。"/>
    <hyperlink ref="D378" r:id="rId_hyperlink_373" tooltip="4#减温减压电动门缺防雨罩，阀杆易锈蚀、卡涩，无法开关，造成阀门损坏，财产损失一万元。"/>
    <hyperlink ref="D379" r:id="rId_hyperlink_374" tooltip="一职工经过仓库时碰到仓库铁门上，导致右肩受伤，送医院确珍为软组织受伤，住院治疗两天，回家休养一天复工。"/>
    <hyperlink ref="D380" r:id="rId_hyperlink_375" tooltip="一员工在巡检时不慎将右脚滑入缺失盖板的排水沟内，造成腿部受伤，送医确诊为右小腿骨折，住院治疗五天回家休养90天复工"/>
    <hyperlink ref="D381" r:id="rId_hyperlink_376" tooltip="离心机没有完全停止一操作工用不锈钢棍清机，棍子被离心机叶轮绞入导致该操作工胳膊严重扭伤，送医治疗一周在家休养三个月损工三个月零7天。"/>
    <hyperlink ref="D382" r:id="rId_hyperlink_377" tooltip="一水桶放置在东一东门拐角的黑暗角落里，一员工向上走时，未看到角落里的水桶，被绊倒膝盖擦伤，消毒处理休息一会儿后，继续工作"/>
    <hyperlink ref="D383" r:id="rId_hyperlink_378" tooltip="南脱硫南草萍处。一蒸气阀门关不严漏蒸气。一名操作人员在此经过时，被喷出的蒸气烫伤腿部。送医治疗后回家休息七天上班。"/>
    <hyperlink ref="D384" r:id="rId_hyperlink_379" tooltip="碳化三楼平台铺板腐蚀，一名操作工经过平台去开关阀门时，不小心右脚踏入腐蚀的铺板上，造成小腿划伤，住院治疗三天，回家休息五天后复工。"/>
    <hyperlink ref="D385" r:id="rId_hyperlink_380" tooltip="初冷器一层爬梯出口处护栏边铁断裂如果一名操作工如初冷器调节温度时可能会被边铁刮伤右肩或扶空 最后去医务室简单处理没有损工"/>
    <hyperlink ref="D386" r:id="rId_hyperlink_381" tooltip="消防水池南边爬梯台阶无防滑条，一名员工在巡检完下爬楼时脚底打滑，从4米高处跌落，造成左脚脚踝骨折，送医治疗，休养100天，造成损工事故。"/>
    <hyperlink ref="D387" r:id="rId_hyperlink_382" tooltip="化产车间制氮机房铁板未清理，如果一名巡检工巡检时经过，脚掌踢到铁板摔倒，膝盖擦伤，消毒处理休息一会，继续工作。"/>
    <hyperlink ref="D388" r:id="rId_hyperlink_383" tooltip="两盐大棚内潜水泵用完没有及时清理，一员工在夜间巡检时经过，被拌倒造成膝盖轻微擦伤，到医务室处理后继续工作。"/>
    <hyperlink ref="D389" r:id="rId_hyperlink_384" tooltip="一员工在清投机头下料口料槽时，不慎掉入下料槽中，卡在下料槽出口处，将其及时救出，送医确诊为胸骨骨折，住院30天，回家修养90天"/>
    <hyperlink ref="D390" r:id="rId_hyperlink_385" tooltip="自动包装机热合机未加防护罩一名操作工在操作过程中不慎把右手食指中指挤伤送医救治疗15天在家休养3个月。"/>
    <hyperlink ref="D391" r:id="rId_hyperlink_386" tooltip="液氨罐区东管架上电缆桥架盖板松动翘起，有坠落伤人危险"/>
    <hyperlink ref="D392" r:id="rId_hyperlink_387" tooltip="爬梯未安装防滑条，巡检人员下爬梯时脚底打滑，从爬梯上滑落，造成右手骨折，送医院治疗。"/>
    <hyperlink ref="D393" r:id="rId_hyperlink_388" tooltip="2#站调节池提升泵流量计穿线管接头裸露，长时间使用，一旦线路磨损破皮，连接在流量计外壳及管线上，操作人员在开、停设备时，造成一名操作人员触电伤亡。"/>
    <hyperlink ref="D394" r:id="rId_hyperlink_389" tooltip="爬梯因靠近凉水塔严重腐蚀，夜间光线不好人员上下爬梯时踏板断裂，造成人员受伤腿部骨折，住院治疗1个月，在家休养2个月复工。"/>
    <hyperlink ref="D395" r:id="rId_hyperlink_390" tooltip="爬梯因靠近凉水塔严重腐蚀，夜间光线不好人员上下爬梯时踏板断裂，造成人员受伤腿部骨折，住院治疗1个月，在家休养2个月复工。"/>
    <hyperlink ref="D396" r:id="rId_hyperlink_391" tooltip="碳化塔水箱检修，塔底周围未拉警戒线，当一名检修工在塔底推水箱时，塔上掉落活板砸伤右脚，送医院救治，住院七天，在家休养十五天。"/>
    <hyperlink ref="D397" r:id="rId_hyperlink_392" tooltip="深度脱硫塔30米爬梯处有废弃塑料桶盖，当大风天气废弃桶盖从爬梯处吹落砸到此处巡检的操作工，造成操作工右胳膊砸伤，去医院检查，右胳膊骨头有裂纹，包扎固定后回家休养60天后复工。"/>
    <hyperlink ref="D398" r:id="rId_hyperlink_393" tooltip="环境除尘二层刮板机无跨越爬梯，一名巡检人员在跨越刮板机时，脚底不甚打滑，身体前倾头部与水泥墩碰撞，送医治疗，抢救无效死亡。"/>
    <hyperlink ref="D399" r:id="rId_hyperlink_394" tooltip="工具放在电缆处，一操作工拿工具时，被电击伤手臂，住院治疗15天"/>
    <hyperlink ref="D400" r:id="rId_hyperlink_395" tooltip="锅炉给水泵房西侧电缆桥架盖板未固定，一名巡检人员从此处经过时，电缆盖板从五米高处掉落，砸中左肩，造成左肩骨折，送医治疗。，休养100天。"/>
    <hyperlink ref="D401" r:id="rId_hyperlink_396" tooltip="循环水至消防水池放水管线跨越桥架腐蚀严重、断裂，桥架距离地面1米，一名巡检人员巡检过程中，踩踏桥架时，桥架突然整体断裂，人员跌落，左臂碰在水泥地面上，造成左臂骨裂，送医治疗。"/>
    <hyperlink ref="D402" r:id="rId_hyperlink_397" tooltip="东二斜桥护栏缺失，一操作工巡检时，衣服卷入导致右手臂挤伤，送医救治确诊骨折，住院20天，在家修养100天康复，造成损工"/>
    <hyperlink ref="D403" r:id="rId_hyperlink_398" tooltip="通往5号减温减压的楼梯台阶无防滑条，爬梯陡高，一名员工巡检完设备下爬梯过程中，脚底打滑，不慎从3米高处跌落地面，送医治疗，经检查左脚踝扭伤，休养7天。"/>
    <hyperlink ref="D404" r:id="rId_hyperlink_399" tooltip="南循环槽护栏破损，如果巡检人员从此处经过，被破损的护栏意外刮伤"/>
    <hyperlink ref="D405" r:id="rId_hyperlink_400" tooltip="南脱硫西侧护栏处有一废弃铁件，一名操作人员在夜班巡检经过该处时，如果现场视线较差，操作人员辩识不到位，被铁件绊倒，造成一人右手及肘部轻微擦伤，简单处理后不影响工作。"/>
    <hyperlink ref="D406" r:id="rId_hyperlink_401" tooltip="南风机南侧护栏处有铁件等杂物，如果一名操作人员夜班巡检经过此处时，因视线不好辩识不到位，被铁件绊倒造成一人右手部轻度擦伤，经简单包扎后不影响正常工作。"/>
    <hyperlink ref="D407" r:id="rId_hyperlink_402" tooltip="东四东门安全出口锁闭，发生突发状况时，疏散不及时，致使一人重伤，送医院抢救无效，死亡。"/>
    <hyperlink ref="D408" r:id="rId_hyperlink_403" tooltip="下水道盖板缺失，一名职工在行走时，不慎掉入下水道受伤，送医检查，脚踝骨轻微伤，回家休养五天复工"/>
    <hyperlink ref="D409" r:id="rId_hyperlink_404" tooltip="防护措施未落实到位，干熄焦区域东地面除尘平台护板开焊，如果操作工巡检过程中不小心踩踏，导致操作工跌落。"/>
    <hyperlink ref="D410" r:id="rId_hyperlink_405" tooltip="北供水制冷水池加药口铁板在加完药后未及时复位，夜间一名操作工巡检时不小心一只脚踩空造成腿部骨折"/>
    <hyperlink ref="D411" r:id="rId_hyperlink_406" tooltip="一员工在高处作业时未按规定佩戴安全带，其在行走时，脚底打滑，不慎从高处（约5米）坠落，头部着地，导致颈椎骨折，经送医后抢救无效死亡。"/>
    <hyperlink ref="D412" r:id="rId_hyperlink_407" tooltip="一操作工从煤四厂房后经过，厂房高处墙皮老化脱落，砸中其左臂部，送医就治确诊为左臂关节骨折，住院治疗7天，回家休养30天后复工。"/>
    <hyperlink ref="D413" r:id="rId_hyperlink_408" tooltip="盐酸罐底部罐体与管线连接处漏液，一名维修工在维修时未带护目镜，酸液溅入眼中。"/>
    <hyperlink ref="D414" r:id="rId_hyperlink_409" tooltip="两盐配电箱内漏电保护器损坏，操作工在合闸时易发生触电事故，送医诊断右臂前胸电热酌伤，住院治疗2天，在家修养5天后康复。"/>
    <hyperlink ref="D415" r:id="rId_hyperlink_410" tooltip="进煤地磅离地面接近一米，过磅人员跳跃下磅时不小心摔倒事故，送医院检查诊断右脚踝关节扭伤，住院治疗7天，回家休养30天。"/>
    <hyperlink ref="D416" r:id="rId_hyperlink_411" tooltip="备煤进煤地磅高出地面接近一米，过磅人员跳跃下磅不小心摔倒受伤，送医院检查诊断右脚踝关节扭伤，住院治疗7天，回家休养30天。"/>
    <hyperlink ref="D417" r:id="rId_hyperlink_412" tooltip="备煤进煤地磅高出地面接近一米，过磅人员跳跃下磅不小心摔倒受伤，送医院检查诊断右脚踝关节扭伤，住院治疗7天，回家休养30天。"/>
    <hyperlink ref="D418" r:id="rId_hyperlink_413" tooltip="备煤进煤地磅高出地面接近一米，过磅人员跳跃下磅不小心摔倒受伤，送医院检查诊断右脚踝关节扭伤，住院治疗7天，回家休养30天。"/>
    <hyperlink ref="D419" r:id="rId_hyperlink_414" tooltip="维修人员维修3#空压机时，把门摘下来维修完后未及时把门按上，假如在倒换设备时不小心被门绊倒，造成胳膊轻度擦伤，经医务人员包扎后返岗上班。"/>
    <hyperlink ref="D420" r:id="rId_hyperlink_415" tooltip="一名操作工在开阀门时因未有爬梯站在塑料桶上操作不慎踩空，造成脚部歪伤。"/>
    <hyperlink ref="D421" r:id="rId_hyperlink_416" tooltip="一名操作工在开阀门时因未有爬梯站在塑料桶上操作不慎踩空，造成脚部歪伤。"/>
    <hyperlink ref="D422" r:id="rId_hyperlink_417" tooltip="吸氨岗位制备器无接地，一名职工廵检此处，设备漏电，电伤职工，经医院珍断损工两天。"/>
    <hyperlink ref="D423" r:id="rId_hyperlink_418" tooltip="仓库顶棚破损脱落，一名职工途经时损坏部分掉落，砸伤右臂，送医确诊右小臂骨折，住院治疗15天，回家休养90天后复工。"/>
    <hyperlink ref="D424" r:id="rId_hyperlink_419" tooltip="氨水制备器无接地装置操作工在关闭阀门时触电晕倒，及时送医检查身体无大碍在家休息一周损工7天。"/>
    <hyperlink ref="D425" r:id="rId_hyperlink_420" tooltip="西五一照明灯损坏 操作工巡检时看不清脚下被绊倒 扭伤右脚脚踝休息一会不影响工作"/>
    <hyperlink ref="D426" r:id="rId_hyperlink_421" tooltip="西四门口处照明灯坏 操作工巡查时经过门口 看不清脚下被台阶拌倒 扭伤右手手腕 休息一会不影响工作"/>
    <hyperlink ref="D427" r:id="rId_hyperlink_422" tooltip="东一源头休息室插座损坏 操作工使用给对讲机冲电时 不慎触电倒地 送医院抢救无效死亡"/>
    <hyperlink ref="D428" r:id="rId_hyperlink_423" tooltip="2号风机出口桥架上方有一撬杠，操作工在下方经过时，被坠落的撬杠砸伤头部，造成轻微脑震荡，住院四天后康复出院。"/>
    <hyperlink ref="D429" r:id="rId_hyperlink_424" tooltip="对讲机充电器未拔下，容易引起火灾。"/>
    <hyperlink ref="D430" r:id="rId_hyperlink_425" tooltip="一操作工清理卫生时，卸料车刮煤板把手断裂砸伤脚面，送医治疗小拇指骨折，在家修养15天后复工"/>
    <hyperlink ref="D431" r:id="rId_hyperlink_426" tooltip="一名职工在煤厂西侧水沟处拔草因水沟盖板质量差而断裂导致一名职工腿部磕伤脚部崴伤"/>
    <hyperlink ref="D432" r:id="rId_hyperlink_427" tooltip="废水回水坑无盖板操作失误掉入坑内造成操作工腿部扭伤。"/>
    <hyperlink ref="D433" r:id="rId_hyperlink_428" tooltip="硫酸储槽北洗眼器损坏拆除未及时安装新的洗眼器，假设一名操作工在打碱液时液碱管道破损喷溅到操作人身上，造成操作工不能及时清洗身体大面积灼烫。"/>
    <hyperlink ref="D434" r:id="rId_hyperlink_429" tooltip="一操作工巡检时脚下打滑摔倒，因此处皮带缺失防护栏，手搭在皮带上划破皮，休息一会，继续上班。"/>
    <hyperlink ref="D435" r:id="rId_hyperlink_430" tooltip="一名操作工在巡检过程中，经过此处时因电缆线杂乱摩擦破皮导致触电身亡"/>
    <hyperlink ref="D436" r:id="rId_hyperlink_431" tooltip="凉水架上电缆桥架盖板未固定，大风天气下会被吹落，如果巡检人员从下方经过会被吹落的桥架盖板砸到"/>
    <hyperlink ref="D437" r:id="rId_hyperlink_432" tooltip="西四耙子开焊，皮带运行中容易造成皮带划伤设备事故。"/>
    <hyperlink ref="D438" r:id="rId_hyperlink_433" tooltip="一操作工在清理完西五下料桶时用完的钳子倾斜放在下料口，巡检人员经过下料口时被其绊倒，造成左手手臂擦伤，休息三十分钟后继续工作。"/>
    <hyperlink ref="D439" r:id="rId_hyperlink_434" tooltip="东五操作室旁边沉淀池，在清理完后盖板放置不到位，岗位人员巡检过程中脚踩盖板，盖板反转右脚掉入沉淀池内，送医院检查：右脚脚踝扭伤，住院5天，在家休养1个月"/>
    <hyperlink ref="D440" r:id="rId_hyperlink_435" tooltip="西一2#给料机挡皮磨损严重，漏煤，运行中造成皮带偏带撕裂事故"/>
    <hyperlink ref="D441" r:id="rId_hyperlink_436" tooltip="一名巡检工巡检至2#循环水泵处时由于地面电缆散落，导致巡检工绊倒，致使左手手面挫伤，简单处理包扎后，继续工作。。"/>
    <hyperlink ref="D442" r:id="rId_hyperlink_437" tooltip="杰富意来压缩空气阀门过高，无爬梯。一名操作工切换压缩空气时不慎从上方跌落，造成脚部扭伤，同事送至操作室休息一小时，后复工"/>
    <hyperlink ref="D443" r:id="rId_hyperlink_438" tooltip="东四南侧吊装门没按要求关闭，一扇门敞开后挡在爬梯上部，一员工经过爬梯时头部碰到门上，跌落爬梯造成右脚脚踝错位，住院10天，在家休养2个月"/>
    <hyperlink ref="D444" r:id="rId_hyperlink_439" tooltip="2号站好氧池南侧阀门井盖板缺失，一名操作工在巡检时因视线不良，未发现盖板缺失不慎掉入地沟，造成左腿小腿部轻微划伤，经简单处理后，正常工作。"/>
    <hyperlink ref="D445" r:id="rId_hyperlink_440" tooltip="碳化塔底部有一铁管，上四点一名巡检人员不小心踩到此铁管，造成左脚腕扭伤。"/>
    <hyperlink ref="D446" r:id="rId_hyperlink_441" tooltip="皮带轮支撑固定轮脱轨，当装卸工用皮带轮硫铵装车时，因固定轮脱轨导致皮带斜偏，硫铵带掉落砸伤从皮带机经过的搬运工，造成搬运工右胳膊砸伤，经去医检查右胳膊肌肉损伤，回家休养7天后复工。"/>
    <hyperlink ref="D447" r:id="rId_hyperlink_442" tooltip="煤五皮带机护栏缺失 操作工巡检清理卫生时  衣服袖口没有扣好纽扣 不慎被皮带机卷入造成右前臂骨折 送医院治疗 住院一个月在家修养90天"/>
    <hyperlink ref="D448" r:id="rId_hyperlink_443" tooltip="斜桥上方模板松动，掉落后砸伤人员"/>
    <hyperlink ref="D449" r:id="rId_hyperlink_444" tooltip="乙炔瓶表头回火器缺失 维修切割使用时 割枪回火造成乙炔气瓶爆炸 造成一人受伤 送医院抢救无效死亡"/>
    <hyperlink ref="D450" r:id="rId_hyperlink_445" tooltip="操作工巡检到加药间时，不小心踩到裸露在外的酸碱罐管线，管线断裂，酸碱液溅到身上"/>
    <hyperlink ref="D451" r:id="rId_hyperlink_446" tooltip="西四杂物耙子松动容易脱落 操作工清理杂物时 耙子脱落砸到右手上休息一会不影响工作"/>
    <hyperlink ref="D452" r:id="rId_hyperlink_447" tooltip="东三卸料车刮板把手开焊掉落  操作工清理滚筒煤层时 把手开焊掉落 由于用力过大扭伤右手手腕 休息一会不影响工作"/>
    <hyperlink ref="D453" r:id="rId_hyperlink_448" tooltip="控制箱无防护罩，人员清理时发生触电事故，造成人员电击伤"/>
    <hyperlink ref="D454" r:id="rId_hyperlink_449" tooltip="煤十料仓通风管防雨罩掉落 大风天下面正好有人员经过时 防雨罩被吹落 砸到头上造成头部受伤 送医院治疗 住院一个月 在家修养60天"/>
    <hyperlink ref="D455" r:id="rId_hyperlink_450" tooltip="1618破碎机电流表外壳破损 操作工清理卫生时 不慎碰触到破损处 触电倒地 右手电伤 送医院治疗 住院20天 在家修养一个月"/>
    <hyperlink ref="D456" r:id="rId_hyperlink_451" tooltip="1号焦油罐气动阀气源管掉落，造成气动阀关闭不动作，通知仪表工后更换气源管恢复正常，造成30分钟焦油无发进罐，影响生产，造成经济损失2万元"/>
    <hyperlink ref="D457" r:id="rId_hyperlink_452" tooltip="硫铵二楼振动筛北侧西边平台过小无护栏，一名操作工在清理振动筛时不慎从平台坠落，造成左胳膊骨折，身上多处软组织挫裂伤，住院治疗15天，在家修完10天后康复。"/>
    <hyperlink ref="D458" r:id="rId_hyperlink_453" tooltip="西三料仓篦子水泥边框变宽 操作工清理卫生时 踩到篦子上面 由于水泥边框老化变宽只支撑不住 跟篦子一起掉落到料仓里 造成双腿骨折送医院治疗 住院一个月 在家修养90天"/>
    <hyperlink ref="D459" r:id="rId_hyperlink_454" tooltip="东一地沟一照明灯坏 操作工巡查时由于地沟光线暗 看不清脚下 不慎被绊倒 造成右脚脚踝扭伤 休息一会不影响工作"/>
    <hyperlink ref="D460" r:id="rId_hyperlink_455" tooltip="东四电源线未套管 由于电源线被窗户挤压线皮破损 操作工经过时不慎碰触到线皮破损处 触电摔倒 扭伤右手手腕 休息一会不影响工作"/>
    <hyperlink ref="D461" r:id="rId_hyperlink_456" tooltip="因防护栏套管不在规定位置，起不到防护作用，一旦人员清理卫生容易造成肢体伤害。"/>
    <hyperlink ref="D462" r:id="rId_hyperlink_457" tooltip="西二斜桥彩钢包边腐蚀脱落 人员经过时包边腐蚀严重掉落砸到肩膀上 造成肩膀划伤 送医院包扎 在家休息20天"/>
    <hyperlink ref="D463" r:id="rId_hyperlink_458" tooltip="一托辊被钢丝缠绕，开车时造成皮带划伤"/>
    <hyperlink ref="D464" r:id="rId_hyperlink_459" tooltip="废水池配电箱外部有一钢筋衔搭，操作人员在合闸操作时，造成电击伤"/>
    <hyperlink ref="D465" r:id="rId_hyperlink_460" tooltip="西五一底托辊腐烂，胶带在运行中，容易造成划伤"/>
    <hyperlink ref="D466" r:id="rId_hyperlink_461" tooltip="电器开关灰尘过多，容易起火，引起财产损失"/>
    <hyperlink ref="D467" r:id="rId_hyperlink_462" tooltip="水沟盖板缺失，行人路过时，一脚迈入水沟中，身体前倾，右膝盖着地，造成轻微擦伤，休息一会儿，继续工作。"/>
    <hyperlink ref="D468" r:id="rId_hyperlink_463" tooltip="煤棚西北角水沟盖板缺失，人员从此处经过时掉入水沟，造成腿部骨折"/>
    <hyperlink ref="D469" r:id="rId_hyperlink_464" tooltip="开关附近金属杂物多，晚上一职工在合闸时把金属物碰到开关接触点上导致触电，送医务室检查无大碍。"/>
    <hyperlink ref="D470" r:id="rId_hyperlink_465" tooltip="一职工在关闭阀门时不慎掉落水池被救出经检查发现右脚扭伤。"/>
    <hyperlink ref="D471" r:id="rId_hyperlink_466" tooltip="煤十行走电机连轴销磨损严重，开机时突然断裂，造成带料停车，设备损坏"/>
    <hyperlink ref="D472" r:id="rId_hyperlink_467" tooltip="焦渣掺配处搅拌机轴承座螺栓松动，一旦配煤上料事时，损坏设备。"/>
    <hyperlink ref="D473" r:id="rId_hyperlink_468" tooltip="一名操作工在放硫时，右手臂如果不慎碰到管线皮肤烫伤。去医务室治疗，休息三天、损工三天"/>
    <hyperlink ref="D474" r:id="rId_hyperlink_469" tooltip="西五涨紧立柱下角铁裸露，清理涨紧下积煤时，绊倒，休息一会，正常上班操作"/>
    <hyperlink ref="D475" r:id="rId_hyperlink_470" tooltip="煤九机头电动滚筒-电机连轴销磨损异响 ，一旦开机容易造成设备损坏，负荷倒带。"/>
    <hyperlink ref="D476" r:id="rId_hyperlink_471" tooltip="东四机尾空段清扫器刮皮磨损严重 ，一旦长时间开机运行，就会造成胶带划伤，停车检修影响生产。"/>
    <hyperlink ref="D477" r:id="rId_hyperlink_472" tooltip="1618 1＃破碎机北面西侧观察孔一紧固螺栓开焊脱落，运行时破碎机内部挤压力过大，将观察孔盖撑开，导致漏煤严重，造成停机处理。"/>
    <hyperlink ref="D478" r:id="rId_hyperlink_473" tooltip="油头漏油，造成部分设备不能正常运行"/>
    <hyperlink ref="D479" r:id="rId_hyperlink_474" tooltip="一名操作清理料口时不慎被外漏钢筋绊倒，导致右手手腕骨折，住院治疗一个月，在家休养两个月。"/>
    <hyperlink ref="D480" r:id="rId_hyperlink_475" tooltip="煤八机头积煤多未及时清，运行中一旦顶带，会造成胶带偏带、撕裂。"/>
    <hyperlink ref="D481" r:id="rId_hyperlink_476" tooltip="夜班，一名员工违规到平台乘凉时，靠到了护栏的断裂部位，导致坠落于30米地面身亡。"/>
    <hyperlink ref="D482" r:id="rId_hyperlink_477" tooltip="5.5米捣鼓机通廊西侧平台离地面约15米无踢脚板，若人员在平台吊物品时1人从下方路过物品掉落被砸中头部造成1名员工死亡"/>
    <hyperlink ref="D483" r:id="rId_hyperlink_478" tooltip="西一地沟2#给料机箱板磨损严重，开机运行漏煤积煤多，一旦巡检不到位造成偏带、胶带撕裂。"/>
    <hyperlink ref="D484" r:id="rId_hyperlink_479" tooltip="送煤车大链条与托煤板连接夹子有裂。纹，维修人员在检修作业拆卸中发现，并及时对其进行更换"/>
    <hyperlink ref="D485" r:id="rId_hyperlink_480" tooltip="送煤车大链条与托煤板连接夹板有裂纹，维修作业人员在进行检修作业拆卸夹板时发现，并及时进行更换。"/>
    <hyperlink ref="D486" r:id="rId_hyperlink_481" tooltip="备煤进煤地磅高出地面近一米，过磅人员跳跃下地磅，不小心摔倒感觉右腿疼痛，送医院检查诊断右脚踝关节轻微扭伤，回家休养5天。"/>
    <hyperlink ref="D487" r:id="rId_hyperlink_482" tooltip="水沟盖板破损未及时更换，夜班人员巡检一旦踏入会造成人员伤害。"/>
    <hyperlink ref="D488" r:id="rId_hyperlink_483" tooltip="两盐配电室打料泵接触器底电线中相发热，当长期发热电线烧断，会造成11kw电机缺相烧毁，损失2000元。。"/>
    <hyperlink ref="D489" r:id="rId_hyperlink_484" tooltip="炉顶导烟车操作室由于高温导致玻璃有裂缝，假如一名操作人员从旁边穿越玻璃破裂，造成人员手臂划伤，送医治疗休养1个月康复"/>
    <hyperlink ref="D490" r:id="rId_hyperlink_485" tooltip="5.5米推焦车推焦杆电机平台爬梯板变形严重，假设一名操作人员在巡检时踏空滑倒。造成一名操作人员脚部骨折，住院治疗15天。"/>
    <hyperlink ref="D491" r:id="rId_hyperlink_486" tooltip="皮带立辊损坏，开机时巡检不到位易造成皮带划伤,撕裂！"/>
    <hyperlink ref="D492" r:id="rId_hyperlink_487" tooltip="焦油罐区液下泵电机防雨罩腐蚀严重，下雨导致电机进水，使电机烧毁"/>
    <hyperlink ref="D493" r:id="rId_hyperlink_488" tooltip="西五斜桥包边悬挂，人员经过造成砸伤、划伤，伤害！"/>
    <hyperlink ref="D494" r:id="rId_hyperlink_489" tooltip="西三后尾转运站护栏门未关闭，人员经过易造成人员摔伤！"/>
    <hyperlink ref="D495" r:id="rId_hyperlink_490" tooltip="一名员工在去往平台，对加湿罐进行液位观察时，不慎从损坏的护栏处跌落三米地面，造成臀部受伤，送医确诊为尾椎骨骨折，住院治疗20天，回家休养100天后复工。"/>
    <hyperlink ref="D496" r:id="rId_hyperlink_491" tooltip="下料筒操作平台工具未按规定摆放，操作工下方行走时砸伤"/>
    <hyperlink ref="D497" r:id="rId_hyperlink_492" tooltip="西一胶带机有一长脱辊破裂，随时造成胶带划伤，迫使停机检修影响生产。"/>
    <hyperlink ref="D498" r:id="rId_hyperlink_493" tooltip="2#给料机偏心盘螺栓松动后脱出，造成停机检修影响生产。"/>
    <hyperlink ref="D499" r:id="rId_hyperlink_494" tooltip="一名员工从西五放煤处经过，不慎被上方掉落的钢筋划伤颈部，送医缝合7针，住院治疗3天，回家休养7天后复工。"/>
    <hyperlink ref="D500" r:id="rId_hyperlink_495" tooltip="东三料仓维修后，观察口盖子未及时复位，造成巡检人员掉入20米深仓内死亡。"/>
    <hyperlink ref="D501" r:id="rId_hyperlink_496" tooltip="检修人员在使用梯子更换灯泡时，因无安全监护人员，造成梯子滑倒检修人员随梯子跌落地面受伤，紧急送往医院经医生检查确诊为右小臂骨折，住院冶疗20天，回家休养3个月后复工"/>
    <hyperlink ref="D502" r:id="rId_hyperlink_497" tooltip="2#站好氧池取样过道因棚盖遮挡，视线不清，夜班操作人员取样过程中被曝气管道绊倒，手掌扶地造成左手腕扭伤，无法正常进行化验操作一周。"/>
    <hyperlink ref="D503" r:id="rId_hyperlink_498" tooltip="吸氨岗位操作工氨水取样时，未戴护目镜，氨水溅入眼中，造成眼睛灼伤，住院治疗五天。"/>
    <hyperlink ref="D504" r:id="rId_hyperlink_499" tooltip="5.5米送煤车驾驶室平台铁板腐烂，操作人员在清理现场时一旦踩破身体失去平衡造成一名操作人员小腿扭伤。住院治疗三天，在家休养七天。"/>
    <hyperlink ref="D505" r:id="rId_hyperlink_500" tooltip="一名职工在巡检南风机工段2号电捕时，由于高压发生器输出电缆老化绝缘降低造成电缆漏电致使该名职工电击摔倒后脚部扭伤，送医务室简单处理后继续上班"/>
    <hyperlink ref="D506" r:id="rId_hyperlink_501" tooltip="一名外来施工人员在施工过程中，由于框架狭窄一只脚踩框架，一只脚踩梯子，未系安全带在转身拿工具时，不慎坠落地面，造成腿部骨折"/>
    <hyperlink ref="D507" r:id="rId_hyperlink_502" tooltip="主控楼东井盖未及时复位，一操作工路过时由于井盖未复位不慎踩空导致脚部扭伤，送医院治疗，医生诊断脚部腕骨扭伤需住院2天在家休养7天。"/>
    <hyperlink ref="D508" r:id="rId_hyperlink_503" tooltip="一名操作工在停风机作业过程中关闭该阀门，阀门长时间开启底部焦油渣增多导致阀门关闭时无法关到位，电动阀头未检测到关到位信号持续关闭将DN1000铸铁阀门顶破，造成煤气泄漏，一名操作人员巡检时煤气中毒。"/>
    <hyperlink ref="D509" r:id="rId_hyperlink_504" tooltip="3号站因调节池内废水指标浓度、气味等比较高，提升泵被废水腐蚀严重，造成机封处漏液，滴在地面小区域内产生异味，造成部分区域环境污染。"/>
    <hyperlink ref="D510" r:id="rId_hyperlink_505" tooltip="除油池爬梯台阶开焊，当操作人员巡检经过时台阶断裂，脚下踏空，爬梯距地面3米，假如手掌未抓牢护栏，将导致人员跌落，臀部率先着地，造成尾骨骨折，住院治疗两个月，在家休养一年。"/>
    <hyperlink ref="D511" r:id="rId_hyperlink_506" tooltip="循环水池地面铁管未清理，一操作工夜间巡检时由于视线不好，不慎被铁管绊倒，造成额头轻微擦伤，医务室简单处理后继续上班。"/>
    <hyperlink ref="D512" r:id="rId_hyperlink_507" tooltip="煤棚西侧盖板损坏，一员工不慎踏入，造成右脚踝关节扭伤，送医确诊无大碍，回岗位继续工作。"/>
    <hyperlink ref="D513" r:id="rId_hyperlink_508" tooltip="锅炉操作工使用完工具后因存放不规范，导致一名操作工在巡检时工具从高空坠落砸伤操作工左肩锁骨。"/>
    <hyperlink ref="D514" r:id="rId_hyperlink_509" tooltip="生化缺氧池搅拌器线路老化，搅拌器短路跳闸，缺氧池污泥沉降，造成后续好氧池指标不稳，出水指标不合格？"/>
    <hyperlink ref="D515" r:id="rId_hyperlink_510" tooltip="西硫铵管道泵电机线脱落裸漏未及时处理，一名巡检工夜间巡检时发生触电伤害"/>
    <hyperlink ref="D516" r:id="rId_hyperlink_511" tooltip="变频器调节表电源插头松动掉落，一旦短路，将导致变频器烧毁，造成经济损失5000千元的设备损坏。"/>
    <hyperlink ref="D517" r:id="rId_hyperlink_512" tooltip="饱和器接地开焊，假如雷雨天气一名操作工巡检到此，设备带电被电击伤休克，经紧急抢救后送医院治疗七天，回家修养三天，损工十天。"/>
    <hyperlink ref="D518" r:id="rId_hyperlink_513" tooltip="加药间絮凝剂泵药品溢出造成桥架内电缆腐蚀短路，设备停电，造成生产事故"/>
    <hyperlink ref="D519" r:id="rId_hyperlink_514" tooltip="如果一名职工在南冷凝泵房巡检时，因蒸汽管子放置不规范，被蒸汽管子绊倒，造成左脚踝扭伤，在家休养七天，损工七天。"/>
    <hyperlink ref="D520" r:id="rId_hyperlink_515" tooltip="硫铵四楼结晶槽上的吹扫管阀门因长时间使用且母液腐蚀阀门导致阀门坏母液溢出，如果不及时更换，阀门腐蚀严重，母液会大量溢出造成大的环保事故。"/>
    <hyperlink ref="D521" r:id="rId_hyperlink_516" tooltip="深度脱硫，脱硫塔顶部煤气放散缺失避雷针夏季雷电天气较多，顶部放散阀门生锈关不严的情况下遇到雷电天气，雷电可能把放散口泄露出来的煤气引燃，从而发生煤气着火事故，可能造成煤气回火管道爆燃，两名人员烧伤死亡"/>
    <hyperlink ref="D522" r:id="rId_hyperlink_517" tooltip="热力老化水电源柜隔离刀闸灭弧罩缺失，在拉合过程中造成短路，使上一级开关跳闸，造成大面积停电"/>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隐患动态跟踪表</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张林蕾</dc:creator>
  <cp:lastModifiedBy>张林蕾</cp:lastModifiedBy>
  <dcterms:created xsi:type="dcterms:W3CDTF">2020-09-03T08:01:50+08:00</dcterms:created>
  <dcterms:modified xsi:type="dcterms:W3CDTF">2020-09-03T08:01:50+08:00</dcterms:modified>
  <dc:title>潍坊振兴焦化有限公司隐患动态跟踪</dc:title>
  <dc:description>file generated using system</dc:description>
  <dc:subject>2020年6月报告</dc:subject>
  <cp:keywords>隐患排查</cp:keywords>
  <cp:category/>
</cp:coreProperties>
</file>