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隐患动态跟踪表" sheetId="1" r:id="rId4"/>
  </sheets>
  <definedNames/>
  <calcPr calcId="999999" calcMode="auto" calcCompleted="1" fullCalcOnLoad="0"/>
</workbook>
</file>

<file path=xl/sharedStrings.xml><?xml version="1.0" encoding="utf-8"?>
<sst xmlns="http://schemas.openxmlformats.org/spreadsheetml/2006/main" uniqueCount="3123">
  <si>
    <t>潍坊振兴焦化有限公司安全生产KPI指标报表（隐患动态跟踪表）</t>
  </si>
  <si>
    <t>2020年9月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</si>
  <si>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</si>
  <si>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</si>
  <si>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</si>
  <si>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</si>
  <si>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</si>
  <si>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</si>
  <si>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</si>
  <si>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</si>
  <si>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</si>
  <si>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</si>
  <si>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</si>
  <si>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</si>
  <si>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</si>
  <si>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</si>
  <si>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</si>
  <si>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</si>
  <si>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</si>
  <si>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</si>
  <si>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</si>
  <si>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</si>
  <si>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</si>
  <si>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</si>
  <si>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</si>
  <si>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</si>
  <si>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</si>
  <si>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</si>
  <si>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</si>
  <si>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</si>
  <si>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</si>
  <si>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</si>
  <si>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</si>
  <si>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</si>
  <si>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</si>
  <si>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</si>
  <si>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</si>
  <si>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</si>
  <si>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</si>
  <si>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19-6-14</t>
  </si>
  <si>
    <t>3#站工段</t>
  </si>
  <si>
    <t>砸伤肩颈部，损工5天</t>
  </si>
  <si>
    <t>已整改</t>
  </si>
  <si>
    <t>一般</t>
  </si>
  <si>
    <t>隐患排查</t>
  </si>
  <si>
    <t>辨识功能缺陷</t>
  </si>
  <si>
    <t>设备、设施、工具、附件缺陷</t>
  </si>
  <si>
    <t>其他作业环境不良</t>
  </si>
  <si>
    <t>其他管理因素缺陷</t>
  </si>
  <si>
    <t>污水处理车间</t>
  </si>
  <si>
    <t>张娜</t>
  </si>
  <si>
    <t>刘振志</t>
  </si>
  <si>
    <t>19-8-31</t>
  </si>
  <si>
    <t>厌氧罐区域</t>
  </si>
  <si>
    <t>人员伤害</t>
  </si>
  <si>
    <t>C3</t>
  </si>
  <si>
    <t>F3</t>
  </si>
  <si>
    <t>II</t>
  </si>
  <si>
    <t>机械完整性</t>
  </si>
  <si>
    <t>√ 维修更换破损的保温层</t>
  </si>
  <si>
    <t>100%</t>
  </si>
  <si>
    <t>19-9-1</t>
  </si>
  <si>
    <t>整改完成</t>
  </si>
  <si>
    <t>19-6-15</t>
  </si>
  <si>
    <t>维修班</t>
  </si>
  <si>
    <t>可能造成手部灼伤，损工一周</t>
  </si>
  <si>
    <t>中等</t>
  </si>
  <si>
    <t>其他行为性危险和有害因素</t>
  </si>
  <si>
    <t>防护缺陷</t>
  </si>
  <si>
    <t>室外作业场地环境不良</t>
  </si>
  <si>
    <t>化产车间</t>
  </si>
  <si>
    <t>刘健</t>
  </si>
  <si>
    <t>刘永鹏</t>
  </si>
  <si>
    <t>19-7-15</t>
  </si>
  <si>
    <t>维修班西侧</t>
  </si>
  <si>
    <t>C2</t>
  </si>
  <si>
    <t>F1</t>
  </si>
  <si>
    <t>IV</t>
  </si>
  <si>
    <t>√ 电仪人员对切割机线缆加防护管</t>
  </si>
  <si>
    <t>19-9-14</t>
  </si>
  <si>
    <t>19-6-20</t>
  </si>
  <si>
    <t>锅炉及发电装置</t>
  </si>
  <si>
    <t>巡检工左小腿骨折住院治疗损工三个月</t>
  </si>
  <si>
    <t>行为性危险有害因素</t>
  </si>
  <si>
    <t>热力车间</t>
  </si>
  <si>
    <t>于连成</t>
  </si>
  <si>
    <t>35T锅炉零米</t>
  </si>
  <si>
    <t>√ 重新制作完整的盖板覆盖好
√ 盖板铺设平整，防止人员绊倒</t>
  </si>
  <si>
    <t>19-9-15</t>
  </si>
  <si>
    <t>地沟盖板损坏且缝隙较大，割厚8毫米铁板覆盖损坏地沟盖板。</t>
  </si>
  <si>
    <t>19-6-30</t>
  </si>
  <si>
    <t>合成岗位</t>
  </si>
  <si>
    <t>合成系统停车</t>
  </si>
  <si>
    <t>高温物质</t>
  </si>
  <si>
    <t>安全环保处</t>
  </si>
  <si>
    <t>张召山</t>
  </si>
  <si>
    <t>化工厂</t>
  </si>
  <si>
    <t>尹万春</t>
  </si>
  <si>
    <t>19-8-30</t>
  </si>
  <si>
    <t>合成余热回收器</t>
  </si>
  <si>
    <t>财产损失</t>
  </si>
  <si>
    <t>F2</t>
  </si>
  <si>
    <t>√ 将裸露管线进行保温</t>
  </si>
  <si>
    <t>19-9-24</t>
  </si>
  <si>
    <t>已提报相关部门，准备保温。</t>
  </si>
  <si>
    <t>19-7-16</t>
  </si>
  <si>
    <t>硫铵岗位，化产车间</t>
  </si>
  <si>
    <t>眼部灼伤，住院治疗七天康复。</t>
  </si>
  <si>
    <t>刘燕</t>
  </si>
  <si>
    <t>19-8-20</t>
  </si>
  <si>
    <t>大母液泵附近洗眼器</t>
  </si>
  <si>
    <t>隐患描述不完整，风险判断待提高。</t>
  </si>
  <si>
    <t>√ 通知维修修复清水管线，保持水管线水畅通。</t>
  </si>
  <si>
    <t>19-9-9</t>
  </si>
  <si>
    <t>19-7-20</t>
  </si>
  <si>
    <t>4.3米焦炉</t>
  </si>
  <si>
    <t>致人死亡</t>
  </si>
  <si>
    <t>炼焦车间</t>
  </si>
  <si>
    <t>程雅君</t>
  </si>
  <si>
    <t>刘青松</t>
  </si>
  <si>
    <t>脱销抑尘工段</t>
  </si>
  <si>
    <t>C4</t>
  </si>
  <si>
    <t>I</t>
  </si>
  <si>
    <t>工艺安全信息</t>
  </si>
  <si>
    <t>√ 四周加围挡
√ 悬挂安全标识</t>
  </si>
  <si>
    <t>19-9-23</t>
  </si>
  <si>
    <t>在配重周边加装护栏并悬挂“禁止通行”警示牌</t>
  </si>
  <si>
    <t>19-7-27</t>
  </si>
  <si>
    <t>2#站工段</t>
  </si>
  <si>
    <t>造成该人员身上多处骨折，需要住院治疗</t>
  </si>
  <si>
    <t>刘珊珊</t>
  </si>
  <si>
    <t>好氧池</t>
  </si>
  <si>
    <t>√ 维修护栏</t>
  </si>
  <si>
    <t>19-7-30</t>
  </si>
  <si>
    <t>巡检人员从旁边经过时容易被砸伤，造成损工7日的事故</t>
  </si>
  <si>
    <t>丁杰</t>
  </si>
  <si>
    <t>张雨安</t>
  </si>
  <si>
    <t>35T锅炉二层</t>
  </si>
  <si>
    <t>III</t>
  </si>
  <si>
    <t>√ 备用灭火器设临时防倾倒措施
√ 人员经过注意避让，防止碰到灭火器</t>
  </si>
  <si>
    <t>19-9-29</t>
  </si>
  <si>
    <t>35t流化床锅炉二层平台有一灭火器属于临时放置，现在已将灭火器更换，并存放于消防箱。</t>
  </si>
  <si>
    <t>19-8-7</t>
  </si>
  <si>
    <t>北脱硫</t>
  </si>
  <si>
    <t>人员伤害，脚踝处骨折损工100天</t>
  </si>
  <si>
    <t>室内作业环境不良</t>
  </si>
  <si>
    <t>高联名</t>
  </si>
  <si>
    <t>19-9-7</t>
  </si>
  <si>
    <t>1号溶液循环泵处平台</t>
  </si>
  <si>
    <t>√ 办理动过作业证，对腐蚀支撑焊接加固！</t>
  </si>
  <si>
    <t>19-8-9</t>
  </si>
  <si>
    <t>东硫铵岗位及配电室</t>
  </si>
  <si>
    <t>一人高处坠落，脚腕扭伤，七天后恢复。</t>
  </si>
  <si>
    <t>黄兆华</t>
  </si>
  <si>
    <t>母液贮槽顶部</t>
  </si>
  <si>
    <t>隐患描述不条理不清晰。进一步加强隐患描述的准确性。</t>
  </si>
  <si>
    <t>√ 维修人员对缺失防护栏进行焊接加固</t>
  </si>
  <si>
    <t>19-8-13</t>
  </si>
  <si>
    <t>洗脱苯工段</t>
  </si>
  <si>
    <t>砸伤事故，限工一个月，住院治疗15天。</t>
  </si>
  <si>
    <t>夏海美</t>
  </si>
  <si>
    <t>终冷塔</t>
  </si>
  <si>
    <t>√ 通知电仪人员，更换或加固穿线管
√ 人员巡检操作按规定劳保穿戴。</t>
  </si>
  <si>
    <t>19-8-14</t>
  </si>
  <si>
    <t>5.5.炼焦车间</t>
  </si>
  <si>
    <t>肋骨骨折，就医修养十二个月。</t>
  </si>
  <si>
    <t>脚手架、阶梯或活动梯架缺陷</t>
  </si>
  <si>
    <t>职业安全卫生管理规章制度不完善</t>
  </si>
  <si>
    <t>田兴军</t>
  </si>
  <si>
    <t>刘葆华</t>
  </si>
  <si>
    <t>19-9-19</t>
  </si>
  <si>
    <t>筛焦楼</t>
  </si>
  <si>
    <t>设备变更管理</t>
  </si>
  <si>
    <t>√ 检修时使用临时脚手架并按高处作业要求采取安全措施
√ 制作并安装检修平台</t>
  </si>
  <si>
    <t>19-9-21</t>
  </si>
  <si>
    <t>19-8-16</t>
  </si>
  <si>
    <t>化工厂脱硫岗位</t>
  </si>
  <si>
    <t>经医院确诊一人溺水，休息三天，造成一人误工</t>
  </si>
  <si>
    <t>标志缺陷</t>
  </si>
  <si>
    <t>刘长军</t>
  </si>
  <si>
    <t>刘正君</t>
  </si>
  <si>
    <t>转化事故水池</t>
  </si>
  <si>
    <t>直线责任</t>
  </si>
  <si>
    <t>√ 按装水深危险注意安全警示牌，</t>
  </si>
  <si>
    <t>19-9-17</t>
  </si>
  <si>
    <t>19-8-17</t>
  </si>
  <si>
    <t>碳化岗位</t>
  </si>
  <si>
    <t>导致压力变送器信号输出失灵，未及时发现导致超压事故发生。</t>
  </si>
  <si>
    <t>张  丽</t>
  </si>
  <si>
    <t>张华和</t>
  </si>
  <si>
    <t>19-9-20</t>
  </si>
  <si>
    <t>碳化塔尾气管</t>
  </si>
  <si>
    <t>C1</t>
  </si>
  <si>
    <t>激励和意识</t>
  </si>
  <si>
    <t>√ 破损处用防水胶带包扎好</t>
  </si>
  <si>
    <t>5.5米焦炉</t>
  </si>
  <si>
    <t>经医院抢救无效死亡</t>
  </si>
  <si>
    <t>刘海峰</t>
  </si>
  <si>
    <t>5.5米烟筒闸板</t>
  </si>
  <si>
    <t>√ 按照规范制作防护栏
√ 现场悬挂警示标志</t>
  </si>
  <si>
    <t>变换岗位</t>
  </si>
  <si>
    <t>一名操作工触电，手部轻伤损工十五天。</t>
  </si>
  <si>
    <t>电伤害</t>
  </si>
  <si>
    <t>杨春水</t>
  </si>
  <si>
    <t>19-9-18</t>
  </si>
  <si>
    <t>变换西巡检室</t>
  </si>
  <si>
    <t>√ 封堵线缆盒处窟窿
√ 封堵前下雨时遮挡配电盘防止雨水淋湿</t>
  </si>
  <si>
    <t>已封堵整改</t>
  </si>
  <si>
    <t>单套装置停车，公司内通报。</t>
  </si>
  <si>
    <t>建筑物和其他结构缺陷</t>
  </si>
  <si>
    <t>19-8-18</t>
  </si>
  <si>
    <t>粗苯</t>
  </si>
  <si>
    <t>人员触电死亡</t>
  </si>
  <si>
    <t>刘帅</t>
  </si>
  <si>
    <t>粗苯终冷塔</t>
  </si>
  <si>
    <t>√ 立即停止外来施工防腐除锈作业，更换老化电缆线，检查漏电保护器。
√ 进行安全培训教育，施工前检查电缆线，漏报等工具。</t>
  </si>
  <si>
    <t>1人眼睛和皮肤灼伤</t>
  </si>
  <si>
    <t>李洪波</t>
  </si>
  <si>
    <t>稠厚器取出管</t>
  </si>
  <si>
    <t>× 及时将防护罩复位，开关阀门佩戴护目镜</t>
  </si>
  <si>
    <t>19-8-19</t>
  </si>
  <si>
    <t>汽轮机</t>
  </si>
  <si>
    <t>一人面部灼伤，损工3天。</t>
  </si>
  <si>
    <t>郭峰祥</t>
  </si>
  <si>
    <t>王安博</t>
  </si>
  <si>
    <t>汽轮机循环水加药间</t>
  </si>
  <si>
    <t>工艺安全分析</t>
  </si>
  <si>
    <t>√ 带好防护用品
√ 尽快更换</t>
  </si>
  <si>
    <t>19-9-2</t>
  </si>
  <si>
    <t>5.5米焦炉地下室</t>
  </si>
  <si>
    <t>设备损坏</t>
  </si>
  <si>
    <t>紧急</t>
  </si>
  <si>
    <t>王海涛</t>
  </si>
  <si>
    <t>于观彦</t>
  </si>
  <si>
    <t>地下室</t>
  </si>
  <si>
    <t>标准、流程</t>
  </si>
  <si>
    <t>√ 五班监护
√ 维修和五班配合修复</t>
  </si>
  <si>
    <t>人员手部、颈部轻微划伤</t>
  </si>
  <si>
    <t>王海虹</t>
  </si>
  <si>
    <t>5.5米焦炉焦侧通廊</t>
  </si>
  <si>
    <t>√ 五班监护
√ 维修尽快恢复处理</t>
  </si>
  <si>
    <t>19-9-6</t>
  </si>
  <si>
    <t>已整改完成</t>
  </si>
  <si>
    <t>4.3米焦炉地下室</t>
  </si>
  <si>
    <t>砸伤人员头部</t>
  </si>
  <si>
    <t>2#炉焦侧熄焦</t>
  </si>
  <si>
    <t>√ 维修整改
√ 监护运行</t>
  </si>
  <si>
    <t>19-8-21</t>
  </si>
  <si>
    <t>污水2#站</t>
  </si>
  <si>
    <t>操作工日常操作时脚底踏空造成右脚踝挫伤，经医务人员包扎后复工</t>
  </si>
  <si>
    <t>张海娜</t>
  </si>
  <si>
    <t>19-9-22</t>
  </si>
  <si>
    <t>2号站</t>
  </si>
  <si>
    <t>√ 维修更换支撑架</t>
  </si>
  <si>
    <t>更换平台</t>
  </si>
  <si>
    <t>造成一名巡检工脚腕扭伤，经简单处理后立即复工。</t>
  </si>
  <si>
    <t>脱硫厂房北侧</t>
  </si>
  <si>
    <t>√ 清理地面积水，覆盖小井盖板</t>
  </si>
  <si>
    <t>19-9-12</t>
  </si>
  <si>
    <t>低温导致一名操作人员轻微冻伤，损工3天</t>
  </si>
  <si>
    <t>低温物质</t>
  </si>
  <si>
    <t>李金芳</t>
  </si>
  <si>
    <t>19-9-30</t>
  </si>
  <si>
    <t>化工厂空分工段</t>
  </si>
  <si>
    <t>√ 对裸露管线进行保温处理</t>
  </si>
  <si>
    <t>19-8-22</t>
  </si>
  <si>
    <t>化产车间北风机</t>
  </si>
  <si>
    <t>冷凝液落地，造成环保事故</t>
  </si>
  <si>
    <t>刘国强</t>
  </si>
  <si>
    <t>大回流放空管</t>
  </si>
  <si>
    <t>环境污染</t>
  </si>
  <si>
    <t>F4</t>
  </si>
  <si>
    <t>√ 更换大回流放空阀门下部放空管</t>
  </si>
  <si>
    <t>造成人员面部深二度烫伤，损工20天。</t>
  </si>
  <si>
    <t>张晓燕</t>
  </si>
  <si>
    <t>焦炉地下室南头西侧</t>
  </si>
  <si>
    <t>√ 联系生产系统检查泄漏原因
√ 及时进行维修堵漏处理</t>
  </si>
  <si>
    <t>19-8-23</t>
  </si>
  <si>
    <t>1号站</t>
  </si>
  <si>
    <t>易造成头部，肩颈部磕碰</t>
  </si>
  <si>
    <t>建设项目“三同时”制度未落实</t>
  </si>
  <si>
    <t>预处理工段蒸氨废水取</t>
  </si>
  <si>
    <t>隐患描述需要进一步加强</t>
  </si>
  <si>
    <t>√ 清除多余的管道
√ 扩大取样口</t>
  </si>
  <si>
    <t>备煤西线岗位及配电室</t>
  </si>
  <si>
    <t>备煤车间</t>
  </si>
  <si>
    <t>庞守湘</t>
  </si>
  <si>
    <t>刘国成</t>
  </si>
  <si>
    <t>19-8-26</t>
  </si>
  <si>
    <t>西二后尾爬梯</t>
  </si>
  <si>
    <t>√ 爬梯加固。</t>
  </si>
  <si>
    <t>已加固</t>
  </si>
  <si>
    <t>19-8-24</t>
  </si>
  <si>
    <t>北风机</t>
  </si>
  <si>
    <t>一人右腿部多处擦伤不影响工作</t>
  </si>
  <si>
    <t>张晓雷</t>
  </si>
  <si>
    <t>1#初冷器</t>
  </si>
  <si>
    <t>√ 制作防护栏填补空隙
√ 使用移动式盖板填补空隙漏洞</t>
  </si>
  <si>
    <t>19-8-25</t>
  </si>
  <si>
    <t>循环水系统</t>
  </si>
  <si>
    <t>送医救治，脚踝关节正位，回家休养，损工七天。</t>
  </si>
  <si>
    <t>王  霞</t>
  </si>
  <si>
    <t>孙连祥</t>
  </si>
  <si>
    <t>19-9-27</t>
  </si>
  <si>
    <t>一次水池西侧过道</t>
  </si>
  <si>
    <t>地沟盖板等安全防护设施需保持完好</t>
  </si>
  <si>
    <t>√ 加装盖板，防止人员失足跌落受伤</t>
  </si>
  <si>
    <t>19-9-16</t>
  </si>
  <si>
    <t>已加盖盖板</t>
  </si>
  <si>
    <t>腿部缝针五针，住院治疗一周后，回家休养，损工半月</t>
  </si>
  <si>
    <t>刘彬</t>
  </si>
  <si>
    <t>消防水池西侧</t>
  </si>
  <si>
    <t>盖板等安全防护措施需保持完好</t>
  </si>
  <si>
    <t>19-9-4</t>
  </si>
  <si>
    <t>已加牢固盖板</t>
  </si>
  <si>
    <t>背部轻微灼伤，医务室冲洗擦药</t>
  </si>
  <si>
    <t>郭文霞</t>
  </si>
  <si>
    <t>循环水加药间</t>
  </si>
  <si>
    <t>能发现生产现场存在的风险，值得鼓励，从工艺检查、劳动防护、应急三方面确保安全</t>
  </si>
  <si>
    <t>应急响应</t>
  </si>
  <si>
    <t>√ 加强日常工艺检查，确保管路完好性，人员加强劳动防护用规范使用
√ 检查现场洗眼器，确保处于良好状态，化学品喷溅到身上立即冲洗</t>
  </si>
  <si>
    <t>19-9-25</t>
  </si>
  <si>
    <t>易磨损部位已做防护，加药时严格劳保穿戴，现场洗眼器处于良好状态。</t>
  </si>
  <si>
    <t>化工化工碳化片区</t>
  </si>
  <si>
    <t>造成巡检工肩部砸伤，经简单包扎，立即复工</t>
  </si>
  <si>
    <t>机械手防护栏</t>
  </si>
  <si>
    <t>× 检查后及时将护栏复位，处于锁闭状态</t>
  </si>
  <si>
    <t>污水处理三号站</t>
  </si>
  <si>
    <t>小腿骨折，住院治疗两个月，休养半年。</t>
  </si>
  <si>
    <t>逯洪帅</t>
  </si>
  <si>
    <t>门口</t>
  </si>
  <si>
    <t>√ 更换滑轮</t>
  </si>
  <si>
    <t>19-8-27</t>
  </si>
  <si>
    <t>经医务室包扎治疗后，马上复工。</t>
  </si>
  <si>
    <t>物理性危险和有害因素</t>
  </si>
  <si>
    <t>张海嫚</t>
  </si>
  <si>
    <t>排水地沟</t>
  </si>
  <si>
    <t>√ 及时将地沟盖板复位</t>
  </si>
  <si>
    <t>操作工眼角膜轻微损伤，划破眼角，损工5天</t>
  </si>
  <si>
    <t>张春宁</t>
  </si>
  <si>
    <t>王中民</t>
  </si>
  <si>
    <t>19-9-28</t>
  </si>
  <si>
    <t>碳化三楼</t>
  </si>
  <si>
    <t>安全人员</t>
  </si>
  <si>
    <t>√ 择机拆除</t>
  </si>
  <si>
    <t>竖管拆除，横管离地2米，人路过时不会碰伤。</t>
  </si>
  <si>
    <t>19-8-28</t>
  </si>
  <si>
    <t>精脱硫岗位</t>
  </si>
  <si>
    <t>造成巡检工头部受伤，医务室包扎，损工半月。</t>
  </si>
  <si>
    <t>李福栋</t>
  </si>
  <si>
    <t>2#水分</t>
  </si>
  <si>
    <t>√ 及时清除</t>
  </si>
  <si>
    <t>已清理</t>
  </si>
  <si>
    <t>化工厂吸氨岗位</t>
  </si>
  <si>
    <t>电机烧伤，住院治疗一个月</t>
  </si>
  <si>
    <t>王晶</t>
  </si>
  <si>
    <t>氨水制备器</t>
  </si>
  <si>
    <t>√ 将破裂处用胶带缠紧</t>
  </si>
  <si>
    <t>3#站化验室</t>
  </si>
  <si>
    <t>瓶身破裂，瓶内少量液体漏出，腐蚀地面，及时处理，半小时后清理</t>
  </si>
  <si>
    <t>鹿敏敏</t>
  </si>
  <si>
    <t>污水处理车间3#站化</t>
  </si>
  <si>
    <t>√ 维修COD试管底座</t>
  </si>
  <si>
    <t>更换底座</t>
  </si>
  <si>
    <t>化工厂转化工段</t>
  </si>
  <si>
    <t>巡检人员磕伤，就医简单包扎后继续上班</t>
  </si>
  <si>
    <t>付新惠</t>
  </si>
  <si>
    <t>小仓库爬梯</t>
  </si>
  <si>
    <t>√ 爬梯处添加警示标识</t>
  </si>
  <si>
    <t>19-8-29</t>
  </si>
  <si>
    <t>触电，住院治疗一个月</t>
  </si>
  <si>
    <t>BC池北侧电缆桥架</t>
  </si>
  <si>
    <t>√ 安装电缆桥架盖板</t>
  </si>
  <si>
    <t>4.3米焦炉炉顶</t>
  </si>
  <si>
    <t>人员头部先着地，送医院抢救无效死亡。</t>
  </si>
  <si>
    <t>职业安全卫生投入不足</t>
  </si>
  <si>
    <t>张瑞强</t>
  </si>
  <si>
    <t>19-10-1</t>
  </si>
  <si>
    <t>炉顶北头</t>
  </si>
  <si>
    <t>√ 增加横撑
√ 对开焊部位进行焊接</t>
  </si>
  <si>
    <t>备煤煤线岗位及配电室</t>
  </si>
  <si>
    <t>如不及时修复，易造成输送带大面积撕裂，影响正常生产。</t>
  </si>
  <si>
    <t>西三</t>
  </si>
  <si>
    <t>√ 皮带部位修补</t>
  </si>
  <si>
    <t>已修补</t>
  </si>
  <si>
    <t>空分</t>
  </si>
  <si>
    <t>造成人员砸伤</t>
  </si>
  <si>
    <t>关闭</t>
  </si>
  <si>
    <t>操作错误</t>
  </si>
  <si>
    <t>刘涛</t>
  </si>
  <si>
    <t>分析室</t>
  </si>
  <si>
    <t>场景描述不清，后果表述不具体</t>
  </si>
  <si>
    <t>0%</t>
  </si>
  <si>
    <t>化产车间MVR工段</t>
  </si>
  <si>
    <t>右肩烧伤损工三周</t>
  </si>
  <si>
    <t>赵延林</t>
  </si>
  <si>
    <t>MVR现场三楼平台</t>
  </si>
  <si>
    <t>风险判断错误，限工损工应为C3</t>
  </si>
  <si>
    <t>√ 对接线盒进行封堵。</t>
  </si>
  <si>
    <t>4.3米脱硫脱硝</t>
  </si>
  <si>
    <t>一人肩颈部砸伤，在家修养两天，损工事件</t>
  </si>
  <si>
    <t>其他物理性危险和有害因素</t>
  </si>
  <si>
    <t>田震</t>
  </si>
  <si>
    <t>19-10-3</t>
  </si>
  <si>
    <t>电缆桥架</t>
  </si>
  <si>
    <t>√ 安排人清理
√ 人员登高注意安全</t>
  </si>
  <si>
    <t>19-12-3</t>
  </si>
  <si>
    <t>备煤东线岗位及配电室</t>
  </si>
  <si>
    <t>掉落砸伤过路行人</t>
  </si>
  <si>
    <t>刘清峰</t>
  </si>
  <si>
    <t>赵明</t>
  </si>
  <si>
    <t>东四西过道管架上</t>
  </si>
  <si>
    <t>√ 组织人员立即清理管道上杂物</t>
  </si>
  <si>
    <t>19-9-3</t>
  </si>
  <si>
    <t>设备脱落损伤</t>
  </si>
  <si>
    <t>王李伟</t>
  </si>
  <si>
    <t>1618破碎机航吊</t>
  </si>
  <si>
    <t>√ 联系维修落实吊钩舌片复位</t>
  </si>
  <si>
    <t>胳膊轻微擦伤，紫药水消毒包扎</t>
  </si>
  <si>
    <t>刘锡玉</t>
  </si>
  <si>
    <t>19-9-10</t>
  </si>
  <si>
    <t>东三岗位</t>
  </si>
  <si>
    <t>√ 立即关闭，认真操作，加强巡查和关管理。</t>
  </si>
  <si>
    <t>南脱硫</t>
  </si>
  <si>
    <t>熔硫釜超温造成设备损坏</t>
  </si>
  <si>
    <t>邢玉坤</t>
  </si>
  <si>
    <t>温度表缺失上限红线</t>
  </si>
  <si>
    <t>√ 对熔硫釜蒸汽管线的有温度表进行上限警示线标识</t>
  </si>
  <si>
    <t>熔硫釜超压造成设备损坏</t>
  </si>
  <si>
    <t>秦顺东</t>
  </si>
  <si>
    <t>√ 压力表标识上限警示红线</t>
  </si>
  <si>
    <t>掉下的铁具砸伤一名出炉人员，肩部骨折，损工60天</t>
  </si>
  <si>
    <t>刘海岗</t>
  </si>
  <si>
    <t>新拦焦车</t>
  </si>
  <si>
    <t>√ 提报新挡板
√ 维修处理</t>
  </si>
  <si>
    <t>掉落的铁板卡住干熄焦旋迷，停止排焦30分钟影响产量50顿</t>
  </si>
  <si>
    <t>一名工人送医抢救无效死亡</t>
  </si>
  <si>
    <t>监护失误</t>
  </si>
  <si>
    <t>刘树秀</t>
  </si>
  <si>
    <t>19-10-2</t>
  </si>
  <si>
    <t>5.5米焦炉北侧</t>
  </si>
  <si>
    <t>√ 现场增设提示标志，吊装作业时，人员严禁从下方穿行。
√ 加强日常巡检巡查，严格落实岗位责任制，杜绝违章作业。</t>
  </si>
  <si>
    <t>化产车间脱硫工段</t>
  </si>
  <si>
    <t>腿部轻微扭伤，休息三天正常工作</t>
  </si>
  <si>
    <t>张传良</t>
  </si>
  <si>
    <t>蒸铵塔</t>
  </si>
  <si>
    <t>假设性要是用“假如，一旦”等引导性词语。</t>
  </si>
  <si>
    <t>× 添加“高处作业，配带安全带”警示牌</t>
  </si>
  <si>
    <t>19-10-19</t>
  </si>
  <si>
    <t>干熄焦</t>
  </si>
  <si>
    <t>人员重伤甚至死亡</t>
  </si>
  <si>
    <t>一次除尘</t>
  </si>
  <si>
    <t>√ 人员立即停止作业
√ 按照规范使用安全带</t>
  </si>
  <si>
    <t>脚部轻微烫伤</t>
  </si>
  <si>
    <t>周建伟</t>
  </si>
  <si>
    <t>19-10-4</t>
  </si>
  <si>
    <t>√ 硫磺现场添加照明灯</t>
  </si>
  <si>
    <t>19-10-31</t>
  </si>
  <si>
    <t>西硫铵岗位及配电室</t>
  </si>
  <si>
    <t>一人手部灼伤，立即清洗后无碍</t>
  </si>
  <si>
    <t>西硫铵三楼加酸阀门处</t>
  </si>
  <si>
    <t>√ 加酸阀门法兰处加装防喷溅防护罩
√ 设立添加警示牌“佩戴防护面罩，胶皮手套”</t>
  </si>
  <si>
    <t>19-12-19</t>
  </si>
  <si>
    <t>5.5米扒焦</t>
  </si>
  <si>
    <t>一操作工摔伤头部，送医治疗无效死亡</t>
  </si>
  <si>
    <t>于林海</t>
  </si>
  <si>
    <t>√ 岗位检查电器照明设施，发现灯具失明及时联系机电班修复。
√ 增设照明设施，保障现场照明亮度符合作业要求。</t>
  </si>
  <si>
    <t>硫酸喷溅灼伤腿部烧伤等级二级住院治疗损工一个月</t>
  </si>
  <si>
    <t>赵兴家</t>
  </si>
  <si>
    <t>东硫铵满流槽</t>
  </si>
  <si>
    <t>请培训完成考核合格后再提报隐患。</t>
  </si>
  <si>
    <t>化产车间南系统循环水</t>
  </si>
  <si>
    <t>由于框架上的安全警示灯坏掉了，如果有高于框架的货车经过，由于</t>
  </si>
  <si>
    <t>付晓寺</t>
  </si>
  <si>
    <t>澡堂西路口</t>
  </si>
  <si>
    <t>隐患描述不完整。请参加完培训合格在按计划提报隐患。</t>
  </si>
  <si>
    <t>作业人员腿部挫伤，休息五天。</t>
  </si>
  <si>
    <t>李兴</t>
  </si>
  <si>
    <t>19-10-5</t>
  </si>
  <si>
    <t>南脱硫2#脱硫塔煤气</t>
  </si>
  <si>
    <t>√ 作业前安全培训，技术交底，监护人员提醒作业人员带好安全带</t>
  </si>
  <si>
    <t>19-9-5</t>
  </si>
  <si>
    <t>5.5米炉顶</t>
  </si>
  <si>
    <t>人员高处坠落摔伤头部，送医抢救无效死亡。</t>
  </si>
  <si>
    <t>朱冬梅</t>
  </si>
  <si>
    <t>5.5米焦炉炉顶</t>
  </si>
  <si>
    <t>√ 协调维修焊接
√ 人员挂牌提示</t>
  </si>
  <si>
    <t>送医抢救无效，一人死亡</t>
  </si>
  <si>
    <t>姚兴军</t>
  </si>
  <si>
    <t>5.5米炉门修理站</t>
  </si>
  <si>
    <t>√ 电工更换
× 未更换前三班禁止使用</t>
  </si>
  <si>
    <t>烧毁电机设备事故财产损失</t>
  </si>
  <si>
    <t>MVR现场</t>
  </si>
  <si>
    <t>√ 制作安装电机防雨罩。</t>
  </si>
  <si>
    <t>造成该人员身体多处骨折，需要住院治疗</t>
  </si>
  <si>
    <t>19-10-7</t>
  </si>
  <si>
    <t>缺氧池爬梯护栏</t>
  </si>
  <si>
    <t>情景描述的完整性方面需要进一步加强了</t>
  </si>
  <si>
    <t>√ 维修开焊的护栏</t>
  </si>
  <si>
    <t>一人轻微煤气中毒</t>
  </si>
  <si>
    <t>19-10-8</t>
  </si>
  <si>
    <t>2#预热器下液管</t>
  </si>
  <si>
    <t>√ 更换破漏阀门。</t>
  </si>
  <si>
    <t>一人面部烫伤，立即冲洗后无碍</t>
  </si>
  <si>
    <t>李栋</t>
  </si>
  <si>
    <t>一楼热风机房</t>
  </si>
  <si>
    <t>√ 维修处理更换泄露管道。</t>
  </si>
  <si>
    <t>化产车间深度脱硫</t>
  </si>
  <si>
    <t>人员烫伤</t>
  </si>
  <si>
    <t>钱勇</t>
  </si>
  <si>
    <t>熔硫釜一层</t>
  </si>
  <si>
    <t>√ 更换法兰垫子，设立警示标识。</t>
  </si>
  <si>
    <t>一人死亡</t>
  </si>
  <si>
    <t>刘强</t>
  </si>
  <si>
    <t>√ 制作安装防雨罩
√ 检查维护接地线</t>
  </si>
  <si>
    <t>19-12-17</t>
  </si>
  <si>
    <t>一名操作工手臂擦伤，继续上班。</t>
  </si>
  <si>
    <t>王彩红</t>
  </si>
  <si>
    <t>西硫铵西侧马路</t>
  </si>
  <si>
    <t>√ 清除地面槽钢。</t>
  </si>
  <si>
    <t>污水处理车间深度处理</t>
  </si>
  <si>
    <t>对地面造成腐蚀，巡检及时发现，一小时内处理完成</t>
  </si>
  <si>
    <t>赵英</t>
  </si>
  <si>
    <t>张林蕾</t>
  </si>
  <si>
    <t>加药间</t>
  </si>
  <si>
    <t>√ 维修法兰</t>
  </si>
  <si>
    <t>19-9-8</t>
  </si>
  <si>
    <t>掉落杂物砸伤人员</t>
  </si>
  <si>
    <t>刘顺</t>
  </si>
  <si>
    <t>西五皮带卸料筒</t>
  </si>
  <si>
    <t>√ 立即关闭，消除隐患。
√ 加强管理，严格落实岗位操作规程及巡检规定，避免类似隐患产生。</t>
  </si>
  <si>
    <t>已整改。</t>
  </si>
  <si>
    <t>灼伤面部，轻微烧伤，继续上班。</t>
  </si>
  <si>
    <t>李贞涛</t>
  </si>
  <si>
    <t>重复提报。</t>
  </si>
  <si>
    <t>化产车间南维修班</t>
  </si>
  <si>
    <t>头部烫伤，去医务室治疗后，休息2小时，继续上班</t>
  </si>
  <si>
    <t>明火</t>
  </si>
  <si>
    <t>维修班前</t>
  </si>
  <si>
    <t>√ 加强监护，作业人员佩戴安全帽。电焊面罩。</t>
  </si>
  <si>
    <t>一人腿部骨折损工三个月</t>
  </si>
  <si>
    <t>19-10-9</t>
  </si>
  <si>
    <t>初冷器前煤气管道爬梯</t>
  </si>
  <si>
    <t>√ 加固改造爬梯，将爬梯与槽钢基础焊接加固。</t>
  </si>
  <si>
    <t>20-1-14</t>
  </si>
  <si>
    <t>彩钢瓦掉落伤人</t>
  </si>
  <si>
    <t>一号风机进口阀门下部</t>
  </si>
  <si>
    <t>√ 拆除旧钢瓦</t>
  </si>
  <si>
    <t>19-11-1</t>
  </si>
  <si>
    <t>南风机</t>
  </si>
  <si>
    <t>一人手臂烫伤，医院五天治疗。</t>
  </si>
  <si>
    <t>张昆</t>
  </si>
  <si>
    <t>风机后下液管</t>
  </si>
  <si>
    <t>√ 蒸汽出口管线跟换阀门
√ 蒸汽出口管线截一段3米长的胶皮管，将蒸汽水引到地面水桶，定期排水。</t>
  </si>
  <si>
    <t>脸部划伤，误工7天</t>
  </si>
  <si>
    <t>张志军</t>
  </si>
  <si>
    <t>西五通廊外侧</t>
  </si>
  <si>
    <t>√ 对损坏部位进行维修。</t>
  </si>
  <si>
    <t>母液溅入眼中不能及时冲洗，造成右眼灼伤，损工七天</t>
  </si>
  <si>
    <t>付海德</t>
  </si>
  <si>
    <t>大母液泵处洗眼器</t>
  </si>
  <si>
    <t>× 报计划更换洗眼器
√ 维修洗眼器</t>
  </si>
  <si>
    <t>化产车间卸碱槽</t>
  </si>
  <si>
    <t>人员灼伤</t>
  </si>
  <si>
    <t>张迎华</t>
  </si>
  <si>
    <t>脱硫岗位</t>
  </si>
  <si>
    <t>√ 维修制作安装防护罩</t>
  </si>
  <si>
    <t>20-1-15</t>
  </si>
  <si>
    <t>护栏坠落造成操作人员砸伤，在家休息三天后正常上班</t>
  </si>
  <si>
    <t>19-10-10</t>
  </si>
  <si>
    <t>南再生器</t>
  </si>
  <si>
    <t>√ 加固管线，防止脱落。</t>
  </si>
  <si>
    <t>伤口包扎休养十天</t>
  </si>
  <si>
    <t>职业安全卫生责任制未落实</t>
  </si>
  <si>
    <t>李水平</t>
  </si>
  <si>
    <t>19-10-11</t>
  </si>
  <si>
    <t>捣鼓上方煤仓</t>
  </si>
  <si>
    <t>能够发现潜在隐患，但需注意描述内容与实际是否相符。</t>
  </si>
  <si>
    <t>√ 岗位加强巡查，发现彩钢瓦腐蚀松动及时通知维修处理
√ 对已腐蚀松动的彩钢瓦及时进行维修处理</t>
  </si>
  <si>
    <t>一人腿部骨折，损工三个月。</t>
  </si>
  <si>
    <t>北脱硫溶液换热器处</t>
  </si>
  <si>
    <t>√ 更换或者加固爬梯。</t>
  </si>
  <si>
    <t>19-9-11</t>
  </si>
  <si>
    <t>腿部骨折，损工治疗3月</t>
  </si>
  <si>
    <t>职业健康管理不完善</t>
  </si>
  <si>
    <t>刘世德</t>
  </si>
  <si>
    <t>19-10-12</t>
  </si>
  <si>
    <t>脱硫</t>
  </si>
  <si>
    <t>√ 加强监护，作业人员牌带安全带。</t>
  </si>
  <si>
    <t>重复提报</t>
  </si>
  <si>
    <t>5.5米焦炉本体</t>
  </si>
  <si>
    <t>就医休养1个月</t>
  </si>
  <si>
    <t>东焦场</t>
  </si>
  <si>
    <t>此区域做了单独特殊安排</t>
  </si>
  <si>
    <t>住院治疗十五天，休养三个月</t>
  </si>
  <si>
    <t>焦三机尾通廊</t>
  </si>
  <si>
    <t>视线不清导致的后果最好要有过程说明</t>
  </si>
  <si>
    <t>√ 机电人员检查现场照明设施，发现损坏或故障的及时修复
√ 现场如照明缺失，增设照明设施</t>
  </si>
  <si>
    <t>人员右腿断裂，住院十五天，修养半年，造成损工。</t>
  </si>
  <si>
    <t>炉顶北头上水槽</t>
  </si>
  <si>
    <t>准备拆除</t>
  </si>
  <si>
    <t>就医修养三个月。</t>
  </si>
  <si>
    <t>董永涛</t>
  </si>
  <si>
    <t>19-10-14</t>
  </si>
  <si>
    <t>√ 禁止人员靠近
√ 和维修协调尽快护栏恢复</t>
  </si>
  <si>
    <t>中毒后送医高压氧仓治疗一月后出院，留下神经性手臂颤抖后遗症</t>
  </si>
  <si>
    <t>√ 现场使用便携式报警仪进行比对，调整
√ 加强巡检巡查，及时处理</t>
  </si>
  <si>
    <t>左手掌擦伤破皮，有血痕，用碘伏消毒清理，简单包扎后继续工作。</t>
  </si>
  <si>
    <t>19-10-13</t>
  </si>
  <si>
    <t>污水处理车间，1#站</t>
  </si>
  <si>
    <t>√ 割除多余钢筋</t>
  </si>
  <si>
    <t>19-9-13</t>
  </si>
  <si>
    <t>住院治疗15天，休养一月</t>
  </si>
  <si>
    <t>焦炉地下室</t>
  </si>
  <si>
    <t>√ 区域挂牌
√ 协调维修制作维修平台</t>
  </si>
  <si>
    <t>造成脚部骨折，住院三天，在家休养一个月。</t>
  </si>
  <si>
    <t>李晓楠</t>
  </si>
  <si>
    <t>刘冲</t>
  </si>
  <si>
    <t>西一三号给料机</t>
  </si>
  <si>
    <t>西一岗位3号给料机行走轮脱落，造成设备故障，人员巡检时容易造成伤害事故</t>
  </si>
  <si>
    <t>√ 维修人员进行检修
√ 维修行走轮，进行加固，防止脱落</t>
  </si>
  <si>
    <t>西一岗位3号给料机行走轮脱落，造成人员伤害，操作人员发现后汇报班组，班组安排维修进行加固，保证安全生产</t>
  </si>
  <si>
    <t>造成肩部砸伤，在家休养三天。</t>
  </si>
  <si>
    <t>张立德</t>
  </si>
  <si>
    <t>西一斜桥东边彩钢瓦处</t>
  </si>
  <si>
    <t>西斜桥岗位彩钢腐蚀脱落，人员经过时容易砸伤</t>
  </si>
  <si>
    <t>√ 报告后准备更换
√ 将脱落腐蚀的彩钢拆除，防止脱落伤人</t>
  </si>
  <si>
    <t>西斜桥彩钢边腐蚀脱落，人员经过时，易伤人，将腐蚀的彩钢拆除，防止掉落伤人</t>
  </si>
  <si>
    <t>人员腿部断裂，住院十五天，修养半年，造成损工。</t>
  </si>
  <si>
    <t>× 挂牌人员禁止靠近
× 协调维修择机加固</t>
  </si>
  <si>
    <t>装置已经停运</t>
  </si>
  <si>
    <t>电源短路跳闸后设备停止运行未及时发现，造成废水外溢</t>
  </si>
  <si>
    <t>东硫铵</t>
  </si>
  <si>
    <t>√ 临时潜水泵电源线接头使用防水胶带包扎。</t>
  </si>
  <si>
    <t>人员跌落昏迷，医院抢救后苏醒，住院一星期</t>
  </si>
  <si>
    <t>孙文鹏</t>
  </si>
  <si>
    <t>房军</t>
  </si>
  <si>
    <t>19-10-16</t>
  </si>
  <si>
    <t>1#炉机侧</t>
  </si>
  <si>
    <t>√ 人员配置安全带
√ 班组加强教育，提高职工安全保护意识</t>
  </si>
  <si>
    <t>装置已经停止运行</t>
  </si>
  <si>
    <t>触电</t>
  </si>
  <si>
    <t>张永生</t>
  </si>
  <si>
    <t>西五后尾</t>
  </si>
  <si>
    <t>√ 加防雨罩</t>
  </si>
  <si>
    <t>已安装防雨罩</t>
  </si>
  <si>
    <t>设备损坏，财产损失！</t>
  </si>
  <si>
    <t>19-10-15</t>
  </si>
  <si>
    <t>提升倒链</t>
  </si>
  <si>
    <t>事件描述不完整。</t>
  </si>
  <si>
    <t>√ 更换舍片，作业区设警示带或围栏</t>
  </si>
  <si>
    <t>一名操作工，轻微砸伤肩部，损工两周</t>
  </si>
  <si>
    <t>刘永强</t>
  </si>
  <si>
    <t>高压配电室二楼彩钢顶</t>
  </si>
  <si>
    <t>√ 清除腐蚀晃动的彩钢瓦。</t>
  </si>
  <si>
    <t>19-10-21</t>
  </si>
  <si>
    <t>人员从爬梯摔落，导致骨折</t>
  </si>
  <si>
    <t>脱硝抑尘工段</t>
  </si>
  <si>
    <t>√ 联系维修拆除
√ 清理现场</t>
  </si>
  <si>
    <t>热力东区</t>
  </si>
  <si>
    <t>巡检工双腿大面积划伤，入院活疗损工2月。</t>
  </si>
  <si>
    <t>19-10-28</t>
  </si>
  <si>
    <t>热力车间东区</t>
  </si>
  <si>
    <t>√ 重新更换盖板或篦子
× 除锈防腐</t>
  </si>
  <si>
    <t>腐烂井篦子用直径8mm铁板覆盖。</t>
  </si>
  <si>
    <t>操作人员腿部手部轻微擦伤，不影响正常工作。</t>
  </si>
  <si>
    <t>刘  未</t>
  </si>
  <si>
    <t>初冷器一层平台</t>
  </si>
  <si>
    <t>√ 电工班人员整改接地线，接地线紧贴地面。</t>
  </si>
  <si>
    <t>化产车间，综合供水</t>
  </si>
  <si>
    <t>一人手部受伤住院，损工半个月</t>
  </si>
  <si>
    <t>李爱玲</t>
  </si>
  <si>
    <t>供水泵房</t>
  </si>
  <si>
    <t>√ 加固联轴器防护罩。</t>
  </si>
  <si>
    <t>颈部轻微烫伤，不影响正常工作</t>
  </si>
  <si>
    <t>郭树鹏</t>
  </si>
  <si>
    <t>南脱硫，硫磺室</t>
  </si>
  <si>
    <t>√ 此阀门处，悬挂警示牌“注意高温，小心灼烫”</t>
  </si>
  <si>
    <t>人员手臂脚腕轻微伤害，不影响正常工作。</t>
  </si>
  <si>
    <t>刘伟</t>
  </si>
  <si>
    <t>√ 机电班修理电动阀</t>
  </si>
  <si>
    <t>压缩岗位压缩机</t>
  </si>
  <si>
    <t>一人死亡事故</t>
  </si>
  <si>
    <t>闫庚全</t>
  </si>
  <si>
    <t>19-10-17</t>
  </si>
  <si>
    <t>压缩机厂房二楼东头</t>
  </si>
  <si>
    <t>√ 立即恢复吊装孔盖板</t>
  </si>
  <si>
    <t>一名操作工脚腕骨折住院治疗15天，休假1月，损工一人。</t>
  </si>
  <si>
    <t>√ 添加上下爬梯注意安全警示标识牌</t>
  </si>
  <si>
    <t>干熄焦提升机</t>
  </si>
  <si>
    <t>设备损坏，耽误生产，造成经济损失16万。</t>
  </si>
  <si>
    <t>刘萌</t>
  </si>
  <si>
    <t>何勇</t>
  </si>
  <si>
    <t>19-10-18</t>
  </si>
  <si>
    <t>1号提升机大钩监控处</t>
  </si>
  <si>
    <t>及时发现问题，日常工作安全意识强。</t>
  </si>
  <si>
    <t>√ 联系电工增加照明灯
√ 主控人员及车辆司机提高责任心每孔跟看挂钩情况</t>
  </si>
  <si>
    <t>4.3焦炉炉顶</t>
  </si>
  <si>
    <t>触电死亡事故</t>
  </si>
  <si>
    <t>4.3米炉顶北头</t>
  </si>
  <si>
    <t>放散不用了</t>
  </si>
  <si>
    <t>东三</t>
  </si>
  <si>
    <t>√ 更换行灯</t>
  </si>
  <si>
    <t>已更换</t>
  </si>
  <si>
    <t>地沟盖板移位导致一名操作工轻微扭伤，误工3天。</t>
  </si>
  <si>
    <t>√ 摆正盖板位置，不得留有空隙。</t>
  </si>
  <si>
    <t>化产车间，粗苯岗位</t>
  </si>
  <si>
    <t>人员腿部轻微擦伤</t>
  </si>
  <si>
    <t>粗苯计量槽围沿内</t>
  </si>
  <si>
    <t>√ 制作合适盖板，遮盖水坑。</t>
  </si>
  <si>
    <t>一人左脚扭伤，左手擦伤，医院简单治疗，损工10天。</t>
  </si>
  <si>
    <t>刘林</t>
  </si>
  <si>
    <t>脱硫泵</t>
  </si>
  <si>
    <t>质量保证</t>
  </si>
  <si>
    <t>√ 操作完成后及时将大盖盖回</t>
  </si>
  <si>
    <t>紧急切断阀误动作关闭，导致粗苯不能及时输送至粗苯贮槽</t>
  </si>
  <si>
    <t>张振</t>
  </si>
  <si>
    <t>粗苯罐区</t>
  </si>
  <si>
    <t>√ 更换老化破裂的穿线管和电源线。</t>
  </si>
  <si>
    <t>脚部腐蚀需去医院检查上药包扎，需要休息一周</t>
  </si>
  <si>
    <t>孟凡鲁</t>
  </si>
  <si>
    <t>西硫铵</t>
  </si>
  <si>
    <t>√ 废水池用合适盖板遮挡。</t>
  </si>
  <si>
    <t>损坏主机2台，插排3个，光纤收发器2个。</t>
  </si>
  <si>
    <t>张鹏</t>
  </si>
  <si>
    <t>操作室</t>
  </si>
  <si>
    <t>√ 按照规范，更换合适防爆的设备。</t>
  </si>
  <si>
    <t>19-10-27</t>
  </si>
  <si>
    <t>脱硫脱硝</t>
  </si>
  <si>
    <t>× 联系电工更改线路位置
× 对线路加装套管</t>
  </si>
  <si>
    <t>深度处理</t>
  </si>
  <si>
    <t>造成脚踝扭伤，膝盖软组织挫伤，就医需住院治疗</t>
  </si>
  <si>
    <t>超滤</t>
  </si>
  <si>
    <t>√ 更换盖板</t>
  </si>
  <si>
    <t>一名员工从高处坠落摔伤头部，送医抢救无效死亡</t>
  </si>
  <si>
    <t>王勇</t>
  </si>
  <si>
    <t>拦焦岗位</t>
  </si>
  <si>
    <t>√ 维修焊接加固
√ 车辆停稳后再进行堵烟操作，提醒人员做好自我防护。</t>
  </si>
  <si>
    <t>一人员高处跌落，头部磕伤，送医抢救无效死亡</t>
  </si>
  <si>
    <t>宋华秀</t>
  </si>
  <si>
    <t>√ 维修更换腐蚀平台铁板
√ 日常操作加强巡检巡查</t>
  </si>
  <si>
    <t>送医救治，面部划伤，损工7天。</t>
  </si>
  <si>
    <t>转化</t>
  </si>
  <si>
    <t>启动前安全审核</t>
  </si>
  <si>
    <t>√ 安排操作人员取走</t>
  </si>
  <si>
    <t>已安排操作工将挡雨板撤除，防止隐患发生</t>
  </si>
  <si>
    <t>造成一名维修工左手冻伤，入院治疗，损工三天。</t>
  </si>
  <si>
    <t>张国德</t>
  </si>
  <si>
    <t>液氧贮槽</t>
  </si>
  <si>
    <t>√ 做好安全防护安规定进行防护</t>
  </si>
  <si>
    <t>按规定整改</t>
  </si>
  <si>
    <t>一名转化巡检人员面部受伤，医员处理后损I休息一周</t>
  </si>
  <si>
    <t>王献宝</t>
  </si>
  <si>
    <t>审核与观察</t>
  </si>
  <si>
    <t>√ 用石子覆盖钢筋将路面垫平</t>
  </si>
  <si>
    <t>用石子覆盖路面垫平</t>
  </si>
  <si>
    <t>转化岗位</t>
  </si>
  <si>
    <t>小腿磕碰淤青，简单涂药治疗</t>
  </si>
  <si>
    <t>转化炉</t>
  </si>
  <si>
    <t>√ 将警示牌悬挂在爬梯两侧或者护笼上</t>
  </si>
  <si>
    <t>挂钩脱落，吊装货物坠落，一人脚趾骨折，住院治疗3个月</t>
  </si>
  <si>
    <t>负荷超限</t>
  </si>
  <si>
    <t>19-10-20</t>
  </si>
  <si>
    <t>碳化塔东电动葫芦</t>
  </si>
  <si>
    <t>√ 通知专业人员修复，在未修复之前严禁使用。</t>
  </si>
  <si>
    <t>全部更换新吊钩</t>
  </si>
  <si>
    <t>经医务室治疗后，立即复工</t>
  </si>
  <si>
    <t>余热回收器</t>
  </si>
  <si>
    <t>√ 用隔热材料进行保温隔离。
√ 挂高温危险，小心灼烫警示牌。</t>
  </si>
  <si>
    <t>压缩岗位</t>
  </si>
  <si>
    <t>巡检人员踏空跌落造成腿部骨折，住院治疗一个月，损工三个月。</t>
  </si>
  <si>
    <t>2号压缩机电机处</t>
  </si>
  <si>
    <t>√ 用铁板或盖板进行补齐。</t>
  </si>
  <si>
    <t>空压机房</t>
  </si>
  <si>
    <t>操作工会触电后身体颤动，休息十分钟，继续工作。</t>
  </si>
  <si>
    <t>刘建明</t>
  </si>
  <si>
    <t>空压机</t>
  </si>
  <si>
    <t>√ 更换接地线</t>
  </si>
  <si>
    <t>19-10-25</t>
  </si>
  <si>
    <t>扭伤脚踝，损工3天</t>
  </si>
  <si>
    <t>回收塔顶</t>
  </si>
  <si>
    <t>√ 将护栏复位到正确位置。</t>
  </si>
  <si>
    <t>已将护栏整改到位</t>
  </si>
  <si>
    <t>经医务室抹药治疗，立即复工。</t>
  </si>
  <si>
    <t>刘明壮</t>
  </si>
  <si>
    <t>√ 通知维修人员焊把手，防止灼烫。</t>
  </si>
  <si>
    <t>包装机岗位</t>
  </si>
  <si>
    <t>一人右手手背划伤，医务室包扎，损工3天</t>
  </si>
  <si>
    <t>心理生理性危险有害因素</t>
  </si>
  <si>
    <t>张燚</t>
  </si>
  <si>
    <t>√ 通知维修人员整行。</t>
  </si>
  <si>
    <t>维修人员已整改</t>
  </si>
  <si>
    <t>操作工被管线绊倒腿部骨折，损工两个月。</t>
  </si>
  <si>
    <t>陶桂玲</t>
  </si>
  <si>
    <t>南风机水封槽</t>
  </si>
  <si>
    <t>√ 电工更换照明灯</t>
  </si>
  <si>
    <t>化工厂合成工段</t>
  </si>
  <si>
    <t>设备损坏，生产系统停车造成经济损失约3万元，未发生人员伤害。</t>
  </si>
  <si>
    <t>刘文永</t>
  </si>
  <si>
    <t>合成塔顶部</t>
  </si>
  <si>
    <t>√ 通知维修人员进行加固牢靠。</t>
  </si>
  <si>
    <t>水处理区域</t>
  </si>
  <si>
    <t>人员摔伤</t>
  </si>
  <si>
    <t>王宁</t>
  </si>
  <si>
    <t>化学水池</t>
  </si>
  <si>
    <t>√ 修补或更换铁质平台面板
√ 刷漆防腐</t>
  </si>
  <si>
    <t>爬梯平台腐烂铁板更换。</t>
  </si>
  <si>
    <t>锅炉紧急停炉</t>
  </si>
  <si>
    <t>赵建军</t>
  </si>
  <si>
    <t>刘新才</t>
  </si>
  <si>
    <t>冷渣机南侧</t>
  </si>
  <si>
    <t>√ 严密封堵穿墙处开方口
√ 配电室内落实粘鼠板等防鼠措施</t>
  </si>
  <si>
    <t>电缆桥架口已封堵</t>
  </si>
  <si>
    <t>人员跌倒伤害</t>
  </si>
  <si>
    <t>杨振斌</t>
  </si>
  <si>
    <t>超滤水箱东侧</t>
  </si>
  <si>
    <t>√ 制作尺寸合适新盖板，将地沟全面覆盖
√ 排查周围其他地沟盖板 全部补全</t>
  </si>
  <si>
    <t>地沟缺失盖板以用铁板覆盖。</t>
  </si>
  <si>
    <t>导致巡检工头部受伤，住院治疗一个月。</t>
  </si>
  <si>
    <t>压缩机平台</t>
  </si>
  <si>
    <t>√ 将平台篦子板复位。</t>
  </si>
  <si>
    <t>油缸底座松动导致油缸掉落</t>
  </si>
  <si>
    <t>√ 联系维修处理
√ 禁止人员靠近</t>
  </si>
  <si>
    <t>联系维修人员及常调人员共同进行了紧固处理</t>
  </si>
  <si>
    <t>干熄炉</t>
  </si>
  <si>
    <t>手部骨折</t>
  </si>
  <si>
    <t>3号小皮带处</t>
  </si>
  <si>
    <t>此设备不常开，开启之后人员禁止靠近</t>
  </si>
  <si>
    <t>送医院治疗3天，|人损工事件。</t>
  </si>
  <si>
    <t>赵延学</t>
  </si>
  <si>
    <t>精脱岗位地沟</t>
  </si>
  <si>
    <t>× 将盖板复位。</t>
  </si>
  <si>
    <t>一名维修人员掉入小井，造成大腿扭伤，在家休养15天的损工事故</t>
  </si>
  <si>
    <t>张发堂</t>
  </si>
  <si>
    <t>脱硫泡沫泵处</t>
  </si>
  <si>
    <t>区域错误</t>
  </si>
  <si>
    <t>操作工手部损伤，损工一周。</t>
  </si>
  <si>
    <t>碳铵离心岗位</t>
  </si>
  <si>
    <t>岗位填写错误</t>
  </si>
  <si>
    <t>一名维修人员掉入小井，造成左大腿扭伤，在家休养7天的损工事故</t>
  </si>
  <si>
    <t>√ 用盖板将小井盖好</t>
  </si>
  <si>
    <t>化工厂碳化岗位</t>
  </si>
  <si>
    <t>经医务室诊断肩部轻微擦伤，简单包扎后及时复工。</t>
  </si>
  <si>
    <t>李友喜</t>
  </si>
  <si>
    <t>碳化塔</t>
  </si>
  <si>
    <t>√ 使用完后整理收回
√ 加强教育，按规程操作</t>
  </si>
  <si>
    <t>人员住院治疗半年，出院休息半年。</t>
  </si>
  <si>
    <t>精脱硫塔</t>
  </si>
  <si>
    <t>√ 先进行捆绑处理，检修机会焊接好</t>
  </si>
  <si>
    <t>一名操作工休假100天，损工一人事件</t>
  </si>
  <si>
    <t>于瀛兰</t>
  </si>
  <si>
    <t>沉淀槽</t>
  </si>
  <si>
    <t>√ 加强职工教育
√ 操作完成立即恢复盖好</t>
  </si>
  <si>
    <t>灼伤左眼睛，住院治疗七天。</t>
  </si>
  <si>
    <t>赵淑红</t>
  </si>
  <si>
    <t>吸氨岗位浓氨槽</t>
  </si>
  <si>
    <t>√ 更换乳胶管</t>
  </si>
  <si>
    <t>左脚损伤，损工一周。</t>
  </si>
  <si>
    <t>× 及时复位。</t>
  </si>
  <si>
    <t>4.3米2#炉焦侧</t>
  </si>
  <si>
    <t>4.3米焦一带机尾通</t>
  </si>
  <si>
    <t>× 挂警示牌提醒
× 联系维修制作护栏</t>
  </si>
  <si>
    <t>碳铵周转库</t>
  </si>
  <si>
    <t>一名巡检工被托盘轻微擦伤经简单处理立即复工</t>
  </si>
  <si>
    <t>刘炳焰</t>
  </si>
  <si>
    <t>19-10-23</t>
  </si>
  <si>
    <t>码垛机</t>
  </si>
  <si>
    <t>√ 按规定进行放置，不能高出托盘放置处</t>
  </si>
  <si>
    <t>已按规定进行放置</t>
  </si>
  <si>
    <t>损工30天</t>
  </si>
  <si>
    <t>脱硫脱硝烟道人孔</t>
  </si>
  <si>
    <t>× 安装警示牌提醒
× 联系维修制作隔离栏</t>
  </si>
  <si>
    <t>损工100天</t>
  </si>
  <si>
    <t>除尘系统</t>
  </si>
  <si>
    <t>环境除尘顶部掉落到二层，造成人员死亡</t>
  </si>
  <si>
    <t>事故分析</t>
  </si>
  <si>
    <t>潘增辉</t>
  </si>
  <si>
    <t>环境除尘顶部护栏</t>
  </si>
  <si>
    <t>√ 联系维修焊接
√ 爬梯悬挂护警示牌</t>
  </si>
  <si>
    <t>汽轮机系统</t>
  </si>
  <si>
    <t>人员触电，造成一人死亡事故。</t>
  </si>
  <si>
    <t>汽轮机零米</t>
  </si>
  <si>
    <t>√ 对裸漏地方进行维护
√ 对老化线路进行更换</t>
  </si>
  <si>
    <t>地沟盖板断裂，巡检人员踩空，小腿轻微擦伤，简单处理后复工。</t>
  </si>
  <si>
    <t>刘少勇</t>
  </si>
  <si>
    <t>19-10-24</t>
  </si>
  <si>
    <t>维修班西侧地沟</t>
  </si>
  <si>
    <t>损坏设备管线</t>
  </si>
  <si>
    <t>高继国</t>
  </si>
  <si>
    <t>压缩楼前</t>
  </si>
  <si>
    <t>区域标识错误，修改后再提交。</t>
  </si>
  <si>
    <t>19-10-30</t>
  </si>
  <si>
    <t>√ 根据实际高度悬挂标准限高标志</t>
  </si>
  <si>
    <t>人员失足坠落，导致受伤损工。</t>
  </si>
  <si>
    <t>北碳化塔2层平台</t>
  </si>
  <si>
    <t>√ 维修进行固定</t>
  </si>
  <si>
    <t>电机损坏，风机停运，转化系统停车。</t>
  </si>
  <si>
    <t>赵明杰</t>
  </si>
  <si>
    <t>转化离心风机</t>
  </si>
  <si>
    <t>危害后果判定不准确</t>
  </si>
  <si>
    <t>无法正常启动，发生火灾造成重大财产损失</t>
  </si>
  <si>
    <t>循环水泵房</t>
  </si>
  <si>
    <t>√ 检查更换，确保完好
√ 定期巡检，及时处理</t>
  </si>
  <si>
    <t>精炼岗位</t>
  </si>
  <si>
    <t>造成换热器设备歪倒牵扯损坏管线，精炼液外溢，造成环保事故。</t>
  </si>
  <si>
    <t>尹丽霞</t>
  </si>
  <si>
    <t>精炼铜液换热器</t>
  </si>
  <si>
    <t>√ 除锈防腐。</t>
  </si>
  <si>
    <t>除锈防腐</t>
  </si>
  <si>
    <t>一名巡检工掉入地沟，致使小腿部划伤，送医务室处理后复工</t>
  </si>
  <si>
    <t>空分岗位</t>
  </si>
  <si>
    <t>√ 将盖板恢复</t>
  </si>
  <si>
    <t>循环水池</t>
  </si>
  <si>
    <t>扭伤脚踝，休工一周。</t>
  </si>
  <si>
    <t>李龙堂</t>
  </si>
  <si>
    <t>转化工段西循环水池</t>
  </si>
  <si>
    <t>√ 设置警示标志</t>
  </si>
  <si>
    <t>一名操作工从高处坠落摔伤头部，送医救治无效死亡。</t>
  </si>
  <si>
    <t>初爱华</t>
  </si>
  <si>
    <t>√ 添加护栏门</t>
  </si>
  <si>
    <t>人员死亡</t>
  </si>
  <si>
    <t>北侧换向链条上方</t>
  </si>
  <si>
    <t>√ 清理掉落水泥块
√ 加强现场检查，及时消除此类隐患</t>
  </si>
  <si>
    <t>跨越地沟时脚部陷入地沟造成脚部扭伤，医务室就医，误工五天。</t>
  </si>
  <si>
    <t>张立强</t>
  </si>
  <si>
    <t>转化工段地沟</t>
  </si>
  <si>
    <t>一名员工膝盖破皮，去医务室简单处理的轻微医疗事件</t>
  </si>
  <si>
    <t>√ 联系电工拆除
√ 人员整理</t>
  </si>
  <si>
    <t>一名操作工脚踝扭伤，医务室就医后立即复工。</t>
  </si>
  <si>
    <t>转化工段地沟盖板</t>
  </si>
  <si>
    <t>√ 按标准恢复盖板</t>
  </si>
  <si>
    <t>化工厂精炼工段</t>
  </si>
  <si>
    <t>操作工皮肤擦伤，医务室就医后，回岗操作。</t>
  </si>
  <si>
    <t>刘同贞</t>
  </si>
  <si>
    <t>氨水循环泵</t>
  </si>
  <si>
    <t>× 通知维修电工将其架高或紧贴地铺识。
√ 悬挂警示标志，禁止通行。</t>
  </si>
  <si>
    <t>导致一人员手背受伤。</t>
  </si>
  <si>
    <t>张瑞海</t>
  </si>
  <si>
    <t>干熄焦地下室</t>
  </si>
  <si>
    <t>皮带更换后及时恢复安全防护设施</t>
  </si>
  <si>
    <t>√ 将护栏归位安装</t>
  </si>
  <si>
    <t>污水处理预处理</t>
  </si>
  <si>
    <t>污泥泵房室内管线混乱湿滑造成人员尺骨骨折损工44天</t>
  </si>
  <si>
    <t>李娟娟</t>
  </si>
  <si>
    <t>19-10-26</t>
  </si>
  <si>
    <t>预处理</t>
  </si>
  <si>
    <t>√ 防护罩恢复规定位置
√ 现场及时清理干净</t>
  </si>
  <si>
    <t>19-9-26</t>
  </si>
  <si>
    <t>电机损坏，风机停运，转化系统停车，生产不能继续。</t>
  </si>
  <si>
    <t>√ 加强风机日常维护保养</t>
  </si>
  <si>
    <t>倒风机后，维修更换角塞，完成。</t>
  </si>
  <si>
    <t>需休息一天的损工事故</t>
  </si>
  <si>
    <t>吴秀芝</t>
  </si>
  <si>
    <t>深度处理酸碱罐围堰处</t>
  </si>
  <si>
    <t>√ 添加安装爬梯</t>
  </si>
  <si>
    <t>1人脚踝扭伤事故，损工三天</t>
  </si>
  <si>
    <t>刘朋</t>
  </si>
  <si>
    <t>1万m³气柜入口水渠</t>
  </si>
  <si>
    <t>√ 联系维修割铁板覆盖</t>
  </si>
  <si>
    <t>行人经过不慎被钢绞线刮伤</t>
  </si>
  <si>
    <t>张立刚</t>
  </si>
  <si>
    <t>压缩厂房北管架处</t>
  </si>
  <si>
    <t>√ 从上部截断拆除。</t>
  </si>
  <si>
    <t>钢绞线已弃用，拆除处理。</t>
  </si>
  <si>
    <t>一名巡检人员腿部擦伤，医务室就医后复工。</t>
  </si>
  <si>
    <t>张文军</t>
  </si>
  <si>
    <t>脱硫工段1号处小井</t>
  </si>
  <si>
    <t>类似问题已多次提出，现场人员随手就可以整改，多提有价值的隐患</t>
  </si>
  <si>
    <t>化工厂停车场北地面</t>
  </si>
  <si>
    <t>一名操作工脚踝扭伤，住院治疗，损工20天。</t>
  </si>
  <si>
    <t>张聪祥</t>
  </si>
  <si>
    <t>停车场北侧地面</t>
  </si>
  <si>
    <t>√ 将坑填平</t>
  </si>
  <si>
    <t>人员伤害，误工111天。</t>
  </si>
  <si>
    <t>外部检查</t>
  </si>
  <si>
    <t>谢同海</t>
  </si>
  <si>
    <t>煤棚5#门</t>
  </si>
  <si>
    <t>√ 在门外横向道路上设置栏杆，严禁车辆或行人通过。</t>
  </si>
  <si>
    <t>已当场制止其通行，并设栏杆。</t>
  </si>
  <si>
    <t>爆炸，汽轮机飞车正好现场有人造成伤害</t>
  </si>
  <si>
    <t>信号缺陷</t>
  </si>
  <si>
    <t>孙建雷</t>
  </si>
  <si>
    <t>张国行</t>
  </si>
  <si>
    <t>主控室</t>
  </si>
  <si>
    <t>隐患描述与后果描述不能混淆，操作人员少的隐患在异常情况下才能体现出来，能在现正常情况下考虑到值得点赞</t>
  </si>
  <si>
    <t>社会影响</t>
  </si>
  <si>
    <t>人员变更管理</t>
  </si>
  <si>
    <t>√ 合理协调人员，确保人数能满足处理异常的需要</t>
  </si>
  <si>
    <t>调整人员，达到人数要求</t>
  </si>
  <si>
    <t>变换</t>
  </si>
  <si>
    <t>一名巡检人员被放空拉线划伤，医务室就医后复工。</t>
  </si>
  <si>
    <t>变换工段西侧</t>
  </si>
  <si>
    <t>此处已经停运，悬挂警示牌无意义</t>
  </si>
  <si>
    <t>一名操作工脚面骨折，损工60天</t>
  </si>
  <si>
    <t>√ 将气瓶固定牢固</t>
  </si>
  <si>
    <t>一名操作工脚面骨折，损工60。</t>
  </si>
  <si>
    <t>张瑞涛</t>
  </si>
  <si>
    <t>空分循环水池</t>
  </si>
  <si>
    <t>政策、原则</t>
  </si>
  <si>
    <t>√ 扳手用完安全放置，严禁挂在阀门上。</t>
  </si>
  <si>
    <t>人员后背砸伤医疗事故。</t>
  </si>
  <si>
    <t>李宪斌</t>
  </si>
  <si>
    <t>19-11-3</t>
  </si>
  <si>
    <t>1#提升机框架三层东</t>
  </si>
  <si>
    <t>巡查认真，能发现潜在隐患</t>
  </si>
  <si>
    <t>√ 将已弃用照明灯拆除</t>
  </si>
  <si>
    <t>已拆除弃用照明灯。</t>
  </si>
  <si>
    <t>化产车间南循环水</t>
  </si>
  <si>
    <t>胳膊摔伤</t>
  </si>
  <si>
    <t>刘永先</t>
  </si>
  <si>
    <t>19-10-29</t>
  </si>
  <si>
    <t>电解水处理器操作室</t>
  </si>
  <si>
    <t>√ 及时撤走支架。</t>
  </si>
  <si>
    <t>一名员工尾椎骨骨折，损工三个月。</t>
  </si>
  <si>
    <t>禚金伟</t>
  </si>
  <si>
    <t>汽轮机零米射水箱</t>
  </si>
  <si>
    <t>培训人员提报错误</t>
  </si>
  <si>
    <t>电气运行区域</t>
  </si>
  <si>
    <t>一名员工触电死亡</t>
  </si>
  <si>
    <t>胡西荣</t>
  </si>
  <si>
    <t>主控楼北1号厂变室内</t>
  </si>
  <si>
    <t>一人左小腿多处划伤损工三天</t>
  </si>
  <si>
    <t>1#电捕焦油器</t>
  </si>
  <si>
    <t>√ 加固或更换1#电捕焦油器二层平台东南角处铁板</t>
  </si>
  <si>
    <t>一人右小腿多处轻度划伤，损工三天</t>
  </si>
  <si>
    <t>刘桂亮</t>
  </si>
  <si>
    <t>2#电捕焦油器</t>
  </si>
  <si>
    <t>√ 更换平台西侧人孔下部铁板</t>
  </si>
  <si>
    <t>一员工腿部被电击穿损工事故</t>
  </si>
  <si>
    <t>潮湿地域电气绝缘不良是造成触电事故的主要原因，应引起足够重视，及时处理接线头等易漏电部位</t>
  </si>
  <si>
    <t>√ 对潜水泵电缆接头进行绝缘处理，防止漏电</t>
  </si>
  <si>
    <t>20-1-3</t>
  </si>
  <si>
    <t>如有氨气泄露，易刺激口、鼻、眼，引起短暂窒息，并刺激眼睛</t>
  </si>
  <si>
    <t>于观辉</t>
  </si>
  <si>
    <t>冰机</t>
  </si>
  <si>
    <t>√ 必须立即配戴防护面局。
√ 加强职工教育，按劳保着装，做好个体防护。</t>
  </si>
  <si>
    <t>立即制止维修作业，进行批评教育，佩戴防毒面具检查后同意恢复作业。</t>
  </si>
  <si>
    <t>操作工左手腕扭伤损工一天</t>
  </si>
  <si>
    <t>北风机初冷器</t>
  </si>
  <si>
    <t>√ 接地线用水泥压实，或用燕尾丝传入平台。</t>
  </si>
  <si>
    <t>一名操作工中毒晕倒，损工10天</t>
  </si>
  <si>
    <t>董云峰</t>
  </si>
  <si>
    <t>三万气柜入口</t>
  </si>
  <si>
    <t>√ 巡检携带便携报警仪，采取安全措施处理漏点。</t>
  </si>
  <si>
    <t>已将松动螺栓紧固处理</t>
  </si>
  <si>
    <t>造成人员右手腕轻微损伤，在家休息10天。</t>
  </si>
  <si>
    <t>赵国防</t>
  </si>
  <si>
    <t>区域错误，后果判定不准确</t>
  </si>
  <si>
    <t>一名操作人员脚腕扭伤，医务室就医后复工。不影响工作。</t>
  </si>
  <si>
    <t>张广梅</t>
  </si>
  <si>
    <t>北脱硫工段循环槽附近</t>
  </si>
  <si>
    <t>√ 水坑加盖板覆盖</t>
  </si>
  <si>
    <t>一名巡检工送医疗养四天，损工事件</t>
  </si>
  <si>
    <t>19-11-2</t>
  </si>
  <si>
    <t>焦三通廊入口旁</t>
  </si>
  <si>
    <t>√ 人员撤走
√ 保持现场工完料净</t>
  </si>
  <si>
    <t>右手手掌灼伤，右手手臂麻木无力</t>
  </si>
  <si>
    <t>√ 安装接地线</t>
  </si>
  <si>
    <t>备煤焦渣掺配系统</t>
  </si>
  <si>
    <t>一名操作工两根手指骨折，损工四个月</t>
  </si>
  <si>
    <t>煤场东北角掺配站</t>
  </si>
  <si>
    <t>√ 更换电机护罩。</t>
  </si>
  <si>
    <t>已更换电机防护罩。</t>
  </si>
  <si>
    <t>南冷凝</t>
  </si>
  <si>
    <t>轴流风扇无接地线会发生触电事故</t>
  </si>
  <si>
    <t>葛立艳</t>
  </si>
  <si>
    <t>高压氨水泵降温的轴流</t>
  </si>
  <si>
    <t>后果严重性判断错误。损工应为C3</t>
  </si>
  <si>
    <t>20-1-12</t>
  </si>
  <si>
    <t>煤饼砸中头部，抢救无效死亡。</t>
  </si>
  <si>
    <t>马同波</t>
  </si>
  <si>
    <t>20-3-7</t>
  </si>
  <si>
    <t>拦焦</t>
  </si>
  <si>
    <t>√ 加强打饼操作
√ 清理现场人员保持安全距离</t>
  </si>
  <si>
    <t>20-9-26</t>
  </si>
  <si>
    <t>20-2-6</t>
  </si>
  <si>
    <t>造成人员手部骨折，住院治疗半月，回家修养二月的损工事件</t>
  </si>
  <si>
    <t>范树超</t>
  </si>
  <si>
    <t>5.5米熄焦池</t>
  </si>
  <si>
    <t>√ 清理彩钢瓦
× 现场保持整洁</t>
  </si>
  <si>
    <t>20-9-28</t>
  </si>
  <si>
    <t>把杂乱的彩钢瓦重新收拾并安装，看起来现场整洁有序。</t>
  </si>
  <si>
    <t>20-2-7</t>
  </si>
  <si>
    <t>操作工，在工作中稍有不注意，容易绊倒</t>
  </si>
  <si>
    <t>周方宾</t>
  </si>
  <si>
    <t>20-3-9</t>
  </si>
  <si>
    <t>炉顶区域南端</t>
  </si>
  <si>
    <t>√ 清理胶管
√ 保持现场整洁</t>
  </si>
  <si>
    <t>20-9-22</t>
  </si>
  <si>
    <t>20-2-17</t>
  </si>
  <si>
    <t>化产车间南脱硫</t>
  </si>
  <si>
    <t>1名操作工从25米的高处坠落，造成1人死亡事故</t>
  </si>
  <si>
    <t>程建华</t>
  </si>
  <si>
    <t>20-3-18</t>
  </si>
  <si>
    <t>南脱硫2#塔中上部</t>
  </si>
  <si>
    <t>√ 维修用铁丝，铁板捆绑加固。
√ 设立警戒线，联系外协人员防腐或加固
√ 无特殊原因，巡检人员禁止攀爬</t>
  </si>
  <si>
    <t>造成1人死亡</t>
  </si>
  <si>
    <t>李爱华</t>
  </si>
  <si>
    <t>20-4-10</t>
  </si>
  <si>
    <t>炉门维修站</t>
  </si>
  <si>
    <t>√ 插保险销
√ 加强检查</t>
  </si>
  <si>
    <t>20-4-7</t>
  </si>
  <si>
    <t>高红升</t>
  </si>
  <si>
    <t>20-5-11</t>
  </si>
  <si>
    <t>焦侧15号碳化室处</t>
  </si>
  <si>
    <t>√ 调整炉门横栓
√ 加强操作横栓到位管理</t>
  </si>
  <si>
    <t>巡检时被绊倒，左胳膊擦伤</t>
  </si>
  <si>
    <t>20-5-12</t>
  </si>
  <si>
    <t>南凉水架</t>
  </si>
  <si>
    <t>√ 加固盖板，紧固螺栓</t>
  </si>
  <si>
    <t>20-4-13</t>
  </si>
  <si>
    <t>硫铵</t>
  </si>
  <si>
    <t>高处坠落1人死亡</t>
  </si>
  <si>
    <t>20-5-15</t>
  </si>
  <si>
    <t>硫铵四楼</t>
  </si>
  <si>
    <t>√ 安装窗户，窗外加护栏</t>
  </si>
  <si>
    <t>20-9-1</t>
  </si>
  <si>
    <t>20-4-17</t>
  </si>
  <si>
    <t>干熄焦区域</t>
  </si>
  <si>
    <t>20-5-20</t>
  </si>
  <si>
    <t>循环风机</t>
  </si>
  <si>
    <t>巡查认真，安全意识强。</t>
  </si>
  <si>
    <t>√ 联系电仪对接线部分增加护套管进行保护</t>
  </si>
  <si>
    <t>20-9-23</t>
  </si>
  <si>
    <t>电仪对接线部分增加防护套管</t>
  </si>
  <si>
    <t>20-4-18</t>
  </si>
  <si>
    <t>一操作工被蒸汽烫伤左小腿，损工一个月。</t>
  </si>
  <si>
    <t>祝国杰</t>
  </si>
  <si>
    <t>20-5-21</t>
  </si>
  <si>
    <t>主控楼楼顶</t>
  </si>
  <si>
    <t>管道中部支撑失效可能造成管道重力下垂受力破损，及时处理防止严重后果</t>
  </si>
  <si>
    <t>√ 加固支撑，确保管道中部有效克服重力影响，避免管道高温时损坏伤人</t>
  </si>
  <si>
    <t>20-9-25</t>
  </si>
  <si>
    <t>除盐水站</t>
  </si>
  <si>
    <t>皮肤破损无损工</t>
  </si>
  <si>
    <t>钱江红</t>
  </si>
  <si>
    <t>浓水设备中间水池</t>
  </si>
  <si>
    <t>能发现小的隐患，及时整改防止出大问题</t>
  </si>
  <si>
    <t>√ 将电缆做好防护后紧贴地面进行固定，防止巡检过程中绊倒</t>
  </si>
  <si>
    <t>20-9-24</t>
  </si>
  <si>
    <t>电工将电缆放低并紧固</t>
  </si>
  <si>
    <t>20-4-22</t>
  </si>
  <si>
    <t>一名电工左腿脚踝扭伤，损工7天</t>
  </si>
  <si>
    <t>卢建祥</t>
  </si>
  <si>
    <t>20-5-22</t>
  </si>
  <si>
    <t>北化产综合供水配电室</t>
  </si>
  <si>
    <t>√ 添加盖板</t>
  </si>
  <si>
    <t>20-4-23</t>
  </si>
  <si>
    <t>蒸汽阀体烫伤，送医救治，经医院诊断为浅二度烫伤，损工七天。</t>
  </si>
  <si>
    <t>戴晓宁</t>
  </si>
  <si>
    <t>20-5-25</t>
  </si>
  <si>
    <t>五号减温减压</t>
  </si>
  <si>
    <t>保温措施既是工艺措施也是安全措施</t>
  </si>
  <si>
    <t>√ 恢复保温，防止人员烫伤</t>
  </si>
  <si>
    <t>恢复保温</t>
  </si>
  <si>
    <t>尾椎骨骨裂，就医休养3个月，损工90天</t>
  </si>
  <si>
    <t>曹青</t>
  </si>
  <si>
    <t>在保证人员安全意识的情况下，不会发生严重后果</t>
  </si>
  <si>
    <t>√ 加装警示牌，提高人员安全意识，通过过时手扶护栏防止摔伤</t>
  </si>
  <si>
    <t>已加装警示牌，提高安全意识</t>
  </si>
  <si>
    <t>脚踝扭伤，送医治疗，损工20天</t>
  </si>
  <si>
    <t>赵波</t>
  </si>
  <si>
    <t>干熄炉四层平台</t>
  </si>
  <si>
    <t>地面不平可能造成绊倒，及时恢复</t>
  </si>
  <si>
    <t>√ 平台地面铁板翘起处焊接加固，防止人员绊倒</t>
  </si>
  <si>
    <t>联系维修已焊接</t>
  </si>
  <si>
    <t>20-4-25</t>
  </si>
  <si>
    <t>李刚</t>
  </si>
  <si>
    <t>20-6-9</t>
  </si>
  <si>
    <t>五号减温减压东侧管道</t>
  </si>
  <si>
    <t>设计安装时就存在的缺陷，只考虑当时的安装不考虑以后的操作，应进行改造，方便日常操作</t>
  </si>
  <si>
    <t>√ 加装平台，平台边加装1.2米高的防护护栏，方便人员安全操作</t>
  </si>
  <si>
    <t>刘金科</t>
  </si>
  <si>
    <t>环境除尘</t>
  </si>
  <si>
    <t>高处坠落是易发事故，需重视</t>
  </si>
  <si>
    <t>√ 加装护栏，防止人员高处坠落</t>
  </si>
  <si>
    <t>加装护栏</t>
  </si>
  <si>
    <t>20-4-27</t>
  </si>
  <si>
    <t>操作人员右脚踝脱臼，损工33天。</t>
  </si>
  <si>
    <t>吴长禄</t>
  </si>
  <si>
    <t>20-5-28</t>
  </si>
  <si>
    <t>5#减温减压</t>
  </si>
  <si>
    <t>实际操作频次不同造成风险级别不同可以区别对待</t>
  </si>
  <si>
    <t>√ 尽量减少跨越操作，加挂警示标志牌，提高人员安全操作意识</t>
  </si>
  <si>
    <t>加装爬梯</t>
  </si>
  <si>
    <t>一名员工脑干损伤死亡事故</t>
  </si>
  <si>
    <t>5号减温减压</t>
  </si>
  <si>
    <t>类此跨越作业较少，需加强警示提醒</t>
  </si>
  <si>
    <t>√ 减少不必要的跨越操作，加装警示牌，提高作业人员安全意识，</t>
  </si>
  <si>
    <t>一名员右脚踝骨折修养4个月的损工事故</t>
  </si>
  <si>
    <t>干熄炉五层</t>
  </si>
  <si>
    <t>细节处体现安全意识，值得称赞</t>
  </si>
  <si>
    <t>√ 固定干熄炉处盖板，减少缝隙，防止人员伤害</t>
  </si>
  <si>
    <t>重新添加新盖板固定</t>
  </si>
  <si>
    <t>20-4-28</t>
  </si>
  <si>
    <t>拦焦滑轨</t>
  </si>
  <si>
    <t>停电维修2小时影响出焦6孔及其他连锁反应，造成重大经济损失</t>
  </si>
  <si>
    <t>常建磊</t>
  </si>
  <si>
    <t>耿金鹏</t>
  </si>
  <si>
    <t>20-5-30</t>
  </si>
  <si>
    <t>5.5焦炉拦焦滑轨南</t>
  </si>
  <si>
    <t>√ 加强滑轨清理
√ 车辆行走注意检查</t>
  </si>
  <si>
    <t>20-9-27</t>
  </si>
  <si>
    <t>人员绊倒，致使左侧膝盖骨骨裂，误工97天</t>
  </si>
  <si>
    <t>钱俊涛</t>
  </si>
  <si>
    <t>20-5-29</t>
  </si>
  <si>
    <t>干熄焦干熄炉二层</t>
  </si>
  <si>
    <t>保持通道地面平整，防止绊倒伤人</t>
  </si>
  <si>
    <t>√ 开焊翘起铁板进行点焊固定，确保地面平整，防止人员绊倒受伤</t>
  </si>
  <si>
    <t>维修点焊固定</t>
  </si>
  <si>
    <t>20-5-2</t>
  </si>
  <si>
    <t>炼焦车间除盐水</t>
  </si>
  <si>
    <t>送医住院治疗半个月，修养一个月，损工45天</t>
  </si>
  <si>
    <t>张琴</t>
  </si>
  <si>
    <t>浓水设备</t>
  </si>
  <si>
    <t>能发现司空见惯的问题，应及时处理防止绊倒人</t>
  </si>
  <si>
    <t>√ 将信号线缆规范固定，不能高于通行路面高度，防止绊倒伤人</t>
  </si>
  <si>
    <t>20-5-7</t>
  </si>
  <si>
    <t>造成环保事故，被环保部门罚款5万元。</t>
  </si>
  <si>
    <t>赵林忠</t>
  </si>
  <si>
    <t>20-6-7</t>
  </si>
  <si>
    <t>集气管</t>
  </si>
  <si>
    <t>√ 恢复电缆覆盖保护
√ 加强巡检巡查</t>
  </si>
  <si>
    <t>西风机</t>
  </si>
  <si>
    <t>操作工右手臂烫伤，送医务室上药、消毒，不影响工作，正常上班。</t>
  </si>
  <si>
    <t>20-6-8</t>
  </si>
  <si>
    <t>风机房东侧</t>
  </si>
  <si>
    <t>× 家挂警示牌，或者修理阀门</t>
  </si>
  <si>
    <t>弃用已拆除</t>
  </si>
  <si>
    <t>20-5-8</t>
  </si>
  <si>
    <t>作废</t>
  </si>
  <si>
    <t>付喜洋</t>
  </si>
  <si>
    <t>西</t>
  </si>
  <si>
    <t>无效隐患，作废</t>
  </si>
  <si>
    <t>经医院包扎治疗后在家休养三个月的损工事件</t>
  </si>
  <si>
    <t>王胜</t>
  </si>
  <si>
    <t>炉顶</t>
  </si>
  <si>
    <t>√ 焊接安装护栏
√ 人员作业落实高处作业相关措施</t>
  </si>
  <si>
    <t>5.5米干熄车</t>
  </si>
  <si>
    <t>电器设备损坏干熄车不能工作影响生产</t>
  </si>
  <si>
    <t>李艳秋</t>
  </si>
  <si>
    <t>20-8-10</t>
  </si>
  <si>
    <t>干熄车局部漏水</t>
  </si>
  <si>
    <t>√ 维修处理
√ 加强检修</t>
  </si>
  <si>
    <t>20-5-9</t>
  </si>
  <si>
    <t>左手部骨折送医院治疗半月，在家休养3月的陨工事件。</t>
  </si>
  <si>
    <t>装煤车</t>
  </si>
  <si>
    <t>√ 焊补缺口
√ 人员行走注意绕行</t>
  </si>
  <si>
    <t>水熄车平台</t>
  </si>
  <si>
    <t>√ 加固护栏
√ 加强巡查</t>
  </si>
  <si>
    <t>5米5焦炉</t>
  </si>
  <si>
    <t>一人右肩骨折，就医休养100天的损工事件</t>
  </si>
  <si>
    <t>炉顶上升管</t>
  </si>
  <si>
    <t>√ 清理上方杂物
√ 加强巡检巡查</t>
  </si>
  <si>
    <t>20-5-10</t>
  </si>
  <si>
    <t>该员工腰椎错位，住院20天在家休养2个月康复，造成一人损工事</t>
  </si>
  <si>
    <t>郎需波</t>
  </si>
  <si>
    <t>焦4通廊</t>
  </si>
  <si>
    <t>√ 及时清理脱落铁件
√ 人员加强安全巡查</t>
  </si>
  <si>
    <t>马金梅</t>
  </si>
  <si>
    <t>注意标题与内容一致</t>
  </si>
  <si>
    <t>√ 电工维修处理
√ 规定电缆接线</t>
  </si>
  <si>
    <t>化产车间粗苯</t>
  </si>
  <si>
    <t>2名化验人员煤气取样时造成煤气中毒，送医院治疗2天后正常上班</t>
  </si>
  <si>
    <t>20-6-15</t>
  </si>
  <si>
    <t>粗苯区域</t>
  </si>
  <si>
    <t>× 加固支撑</t>
  </si>
  <si>
    <t>该系统停运。</t>
  </si>
  <si>
    <t>送医院救治，抢救无效死亡</t>
  </si>
  <si>
    <t>田广</t>
  </si>
  <si>
    <t>炉顶南端</t>
  </si>
  <si>
    <t>√ 加固护栏
√ 人员禁止倚靠</t>
  </si>
  <si>
    <t>脚踝扭伤，就医修养七天。</t>
  </si>
  <si>
    <t>刘清磊</t>
  </si>
  <si>
    <t>机侧除尘提升机爬梯</t>
  </si>
  <si>
    <t>√ 加强护栏爬梯维护
√ 及时维修处理</t>
  </si>
  <si>
    <t>触电抢救无效死亡。</t>
  </si>
  <si>
    <t>√ 规范使用安全防护用具
√ 停止违章作业</t>
  </si>
  <si>
    <t>小腿骨折，休养半年</t>
  </si>
  <si>
    <t>烟囱西端</t>
  </si>
  <si>
    <t>√ 清理铁架
√ 保持现场整洁</t>
  </si>
  <si>
    <t>20-5-14</t>
  </si>
  <si>
    <t>入院治疗，损工一周</t>
  </si>
  <si>
    <t>孙洪涛</t>
  </si>
  <si>
    <t>机侧现场</t>
  </si>
  <si>
    <t>承包商管理</t>
  </si>
  <si>
    <t>√ 联系施工单位清理现场物料
√ 施工作业规范管理</t>
  </si>
  <si>
    <t>入院治疗损工三月</t>
  </si>
  <si>
    <t>√ 加固护栏
√ 采取必要安全自我防护措施</t>
  </si>
  <si>
    <t>伤者立即送医院治疗，伤者肋骨骨折，面部多处受伤，损工六个月。</t>
  </si>
  <si>
    <t>陈德增</t>
  </si>
  <si>
    <t>5.5米焦炉机侧</t>
  </si>
  <si>
    <t>√ 联系施工单位及时清理现场
√ 施工作业规范管理</t>
  </si>
  <si>
    <t>20-5-16</t>
  </si>
  <si>
    <t>精神受到惊吓，小腿骨折，在家休养3个月</t>
  </si>
  <si>
    <t>胡福颖</t>
  </si>
  <si>
    <t>20-6-21</t>
  </si>
  <si>
    <t>2#初冷器</t>
  </si>
  <si>
    <t>√ 规范使用安全带，双钩高挂低用</t>
  </si>
  <si>
    <t>20-5-18</t>
  </si>
  <si>
    <t>右侧小腿骨折，损工三个月。</t>
  </si>
  <si>
    <t>20-6-19</t>
  </si>
  <si>
    <t>5号减温减压一层平台</t>
  </si>
  <si>
    <t>护栏腐蚀起不到防护作用，造成事故，应立即整改</t>
  </si>
  <si>
    <t>√ 对根部腐蚀部分进行焊接加固，同时检查其它部位腐蚀情况，确保达到防护强度</t>
  </si>
  <si>
    <t>20-5-19</t>
  </si>
  <si>
    <t>左脚踝扭伤，损工三天。</t>
  </si>
  <si>
    <t>20-6-20</t>
  </si>
  <si>
    <t>主控楼南二楼爬梯</t>
  </si>
  <si>
    <t>护栏完好能起到防止事故的作用，护栏达不到强度会成为事故的诱因，需及时处理</t>
  </si>
  <si>
    <t>√ 加固护栏腐蚀处，防止人员受伤</t>
  </si>
  <si>
    <t>人员坠落右侧小腿骨折，损工4个月</t>
  </si>
  <si>
    <t>二楼二级反渗透进水管</t>
  </si>
  <si>
    <t>防护孔洞处失足伤人，及时加装盖板</t>
  </si>
  <si>
    <t>√ 及时加装盖板，使孔洞处间隙达到安全要求</t>
  </si>
  <si>
    <t>维修将周边加盖板</t>
  </si>
  <si>
    <t>余热锅炉</t>
  </si>
  <si>
    <t>轻微医疗事件</t>
  </si>
  <si>
    <t>刘锦涛</t>
  </si>
  <si>
    <t>一次除尘顶部西侧</t>
  </si>
  <si>
    <t>管路安装位置高，醒目度低，易绊倒伤人</t>
  </si>
  <si>
    <t>√ 对管道用油漆刷红黑间隔的警戒色，提高醒目度，防止绊倒伤人</t>
  </si>
  <si>
    <t>20-9-30</t>
  </si>
  <si>
    <t>悬挂警示牌提醒，注意绊倒</t>
  </si>
  <si>
    <t>人员触电伤亡</t>
  </si>
  <si>
    <t>宋祥芝</t>
  </si>
  <si>
    <t>现场环境腐蚀应及时处理引起的防护缺陷</t>
  </si>
  <si>
    <t>√ 对配电箱门进行焊接回固，保持良好防护性能</t>
  </si>
  <si>
    <t>配电箱门进行加固安装</t>
  </si>
  <si>
    <t>20-5-23</t>
  </si>
  <si>
    <t>皮带机岗位</t>
  </si>
  <si>
    <t>一操作右腿擦伤，损工三天</t>
  </si>
  <si>
    <t>东二钎子</t>
  </si>
  <si>
    <t>重复项</t>
  </si>
  <si>
    <t>轻微医疗伤害</t>
  </si>
  <si>
    <t>√ 用完工具放到指定位置
√ 人员注意安全</t>
  </si>
  <si>
    <t>20-5-24</t>
  </si>
  <si>
    <t>左脚脚踝骨折，住院治疗15天，在家休养2个月</t>
  </si>
  <si>
    <t>刘永</t>
  </si>
  <si>
    <t>20-6-26</t>
  </si>
  <si>
    <t>锅炉除氧器平台</t>
  </si>
  <si>
    <t>安全意识强，巡查认真</t>
  </si>
  <si>
    <t>√ 联系维修对平台进行加固，部分铁板更换</t>
  </si>
  <si>
    <t>一名员工左脚脚踝扭伤，送医治疗，休养15天。</t>
  </si>
  <si>
    <t>20-6-25</t>
  </si>
  <si>
    <t>汽轮机房三楼平台</t>
  </si>
  <si>
    <t>虽是防滑花纹板，但也有滑跌风险，需增加安全警示</t>
  </si>
  <si>
    <t>√ 加装安全警示牌，提高人员上下爬梯时安全意识</t>
  </si>
  <si>
    <t>加装警示牌</t>
  </si>
  <si>
    <t>一名员工右侧两根肋骨骨折，送医治疗10天，休养60天。</t>
  </si>
  <si>
    <t>秦学山</t>
  </si>
  <si>
    <t>20-8-26</t>
  </si>
  <si>
    <t>一次水池西侧</t>
  </si>
  <si>
    <t>盖板的有效覆盖可有效防止人员跌落事故。</t>
  </si>
  <si>
    <t>√ 将盖板放在有效位置上，起到有效防护作用</t>
  </si>
  <si>
    <t>左小腿骨折，住院治疗20天，休养3个月，损工110天</t>
  </si>
  <si>
    <t>冷焦带地下室</t>
  </si>
  <si>
    <t>防滑花纹板具有防滑性能，但也需加强警示</t>
  </si>
  <si>
    <t>已焊防滑条</t>
  </si>
  <si>
    <t>断路器触头烧损，引起设备停电造成财产损失</t>
  </si>
  <si>
    <t>高压配电室</t>
  </si>
  <si>
    <t>电气温度异常需及时发现，防止引发事故</t>
  </si>
  <si>
    <t>× 联系电工处理测温探头，保证正常显示设备温度，防止发生电气故障引发安全问题</t>
  </si>
  <si>
    <t>现场测温仪测温，大修时检查处理</t>
  </si>
  <si>
    <t>脸部皮肤被划伤，简单包扎后继续工作。</t>
  </si>
  <si>
    <t>锅炉西侧管架</t>
  </si>
  <si>
    <t>大风大雨天来临，高处坠物伤人风险增加，及时消除</t>
  </si>
  <si>
    <t>√ 对铝皮进行固定，防止坠落伤人</t>
  </si>
  <si>
    <t>铝皮已清理</t>
  </si>
  <si>
    <t>上肢骨折，住院12天，在家修养100天。</t>
  </si>
  <si>
    <t>张文龙</t>
  </si>
  <si>
    <t>锅炉加药间门口</t>
  </si>
  <si>
    <t>涉及到建筑结构牢固，无法进行改变，需刷警戒色提高醒目度</t>
  </si>
  <si>
    <t>√ 将斜撑用油漆粉刷红黑间隔的警戒色，提高醒目度，防止人员受伤</t>
  </si>
  <si>
    <t>现场已处理</t>
  </si>
  <si>
    <t>铁件坠落，造成一人死亡</t>
  </si>
  <si>
    <t>干熄焦提升机顶层</t>
  </si>
  <si>
    <t>安全意识强巡查认真</t>
  </si>
  <si>
    <t>√ 联系维修对断裂处进行焊补</t>
  </si>
  <si>
    <t>维修进行焊补</t>
  </si>
  <si>
    <t>汽轮机循环水系统</t>
  </si>
  <si>
    <t>右脚脚踝处骨折，住院20天  休养三个月  损工110天。</t>
  </si>
  <si>
    <t>循环水冷却塔爬梯</t>
  </si>
  <si>
    <t>爬梯为防滑花纹板，但仍需加强警示</t>
  </si>
  <si>
    <t>√ 爬梯为花纹板具有防滑功能，但需加挂警示牌加强警示，提高人员上下时安全意识</t>
  </si>
  <si>
    <t>已悬挂警示牌</t>
  </si>
  <si>
    <t>20-5-26</t>
  </si>
  <si>
    <t>化产车间西硫铵</t>
  </si>
  <si>
    <t>轻微扭伤休息后正常工作</t>
  </si>
  <si>
    <t>20-6-28</t>
  </si>
  <si>
    <t>西硫铵东管架</t>
  </si>
  <si>
    <t>√ 焊补漏点，清除地面积水</t>
  </si>
  <si>
    <t>焦油罐区</t>
  </si>
  <si>
    <t>脚趾砸伤，休养5天，损工5天。</t>
  </si>
  <si>
    <t>√ 焊接加固</t>
  </si>
  <si>
    <t>人身伤害</t>
  </si>
  <si>
    <t>单静</t>
  </si>
  <si>
    <t>煤九外部平台护栏开焊</t>
  </si>
  <si>
    <t>√ 维修焊补
√ 人员注意安全</t>
  </si>
  <si>
    <t>操作工多处骨折，软组织挫伤，损工3个月</t>
  </si>
  <si>
    <t>熄焦池抓斗操作平台</t>
  </si>
  <si>
    <t>√ 增设踢脚板
√ 加强安全设施检查</t>
  </si>
  <si>
    <t>20-5-31</t>
  </si>
  <si>
    <t>腿部轻微伤</t>
  </si>
  <si>
    <t>高玉花</t>
  </si>
  <si>
    <t>20-6-30</t>
  </si>
  <si>
    <t>煤五机尾</t>
  </si>
  <si>
    <t>√ 巡检时注意避开小井处
√ 盖板盖好</t>
  </si>
  <si>
    <t>锁骨骨折，医院治疗一个月，在家休养三个月康复</t>
  </si>
  <si>
    <t>20-10-24</t>
  </si>
  <si>
    <t>干熄焦提升机框架</t>
  </si>
  <si>
    <t>对高处易坠部分进行加固，防止坠物伤人</t>
  </si>
  <si>
    <t>√ 加固框架腐蚀处，防止易坠部分坠落造成人员受伤</t>
  </si>
  <si>
    <t>由鞍山鑫诚公司对框架进行加固，部分螺栓缺失处补加螺栓，防止框架承载力降低坠落伤人</t>
  </si>
  <si>
    <t>掉落砸伤</t>
  </si>
  <si>
    <t>20-7-1</t>
  </si>
  <si>
    <t>南风机一层</t>
  </si>
  <si>
    <t>√ 加固更换接线盒</t>
  </si>
  <si>
    <t>5米5筛焦楼</t>
  </si>
  <si>
    <t>送医，拍cT诊断为尾骨未端裂，在家休息3个月。</t>
  </si>
  <si>
    <t>阚洪全</t>
  </si>
  <si>
    <t>筛焦楼1号仓观察口</t>
  </si>
  <si>
    <t>√ 增设护栏
√ 保持安全距离</t>
  </si>
  <si>
    <t>煤场</t>
  </si>
  <si>
    <t>人员肩部骨折，损工150天。</t>
  </si>
  <si>
    <t>邢志鹏</t>
  </si>
  <si>
    <t>煤场 煤棚</t>
  </si>
  <si>
    <t>√ 计划外部人员修理
√ 经过时注意安全，防止高空落物伤人</t>
  </si>
  <si>
    <t>20-6-1</t>
  </si>
  <si>
    <t>灭火器底座损坏</t>
  </si>
  <si>
    <t>20-7-6</t>
  </si>
  <si>
    <t>预冷塔东侧</t>
  </si>
  <si>
    <t>√ 加固消防箱底座</t>
  </si>
  <si>
    <t>20-6-2</t>
  </si>
  <si>
    <t>西区配电室楼顶</t>
  </si>
  <si>
    <t>造成设备损坏</t>
  </si>
  <si>
    <t>郝德志</t>
  </si>
  <si>
    <t>配电室楼顶</t>
  </si>
  <si>
    <t>20-6-3</t>
  </si>
  <si>
    <t>送医后经抢救无效死亡</t>
  </si>
  <si>
    <t>杨延安</t>
  </si>
  <si>
    <t>下料口</t>
  </si>
  <si>
    <t>√ 更换盖板
√ 保持安全距离</t>
  </si>
  <si>
    <t>一维修工腰部骨折，损工七个月。</t>
  </si>
  <si>
    <t>刘少奎</t>
  </si>
  <si>
    <t>水熄车</t>
  </si>
  <si>
    <t>√ 维修爬梯
√ 及时修复</t>
  </si>
  <si>
    <t>炼焦车间焦四机头</t>
  </si>
  <si>
    <t>失去右臂并且失去了工作能力</t>
  </si>
  <si>
    <t>刘经洪</t>
  </si>
  <si>
    <t>焦四机头</t>
  </si>
  <si>
    <t>√ 增加护罩
√ 注意维护作业必须停止后进行</t>
  </si>
  <si>
    <t>人体伤害严重，以后工作生活造成很大影响。</t>
  </si>
  <si>
    <t>张洪波</t>
  </si>
  <si>
    <t>焦四后尾</t>
  </si>
  <si>
    <t>后果描述不够恰当</t>
  </si>
  <si>
    <t>√ 恢复护栏
√ 维护时停带</t>
  </si>
  <si>
    <t>20-6-4</t>
  </si>
  <si>
    <t>5.5米推焦车</t>
  </si>
  <si>
    <t>一操作工跌落爬梯骨折，造成损工4个月。</t>
  </si>
  <si>
    <t>推焦车爬梯</t>
  </si>
  <si>
    <t>√ 增加照明亮度
√ 注意作业安全</t>
  </si>
  <si>
    <t>照明已增加</t>
  </si>
  <si>
    <t>化产车间北循环水</t>
  </si>
  <si>
    <t>护栏损坏，划伤操作工</t>
  </si>
  <si>
    <t>20-7-10</t>
  </si>
  <si>
    <t>新凉水架</t>
  </si>
  <si>
    <t>√ 更换爬梯立柱</t>
  </si>
  <si>
    <t>造成一人扭伤右脚脚踝    休息一会不影响工作</t>
  </si>
  <si>
    <t>刘明源</t>
  </si>
  <si>
    <t>3号煤厂</t>
  </si>
  <si>
    <t>√ 维修割除钢筋
√ 人员车辆经过时注意安全</t>
  </si>
  <si>
    <t>5-5米筛焦楼</t>
  </si>
  <si>
    <t>该操作工左小腿骨折住院1个月，休养3个月康复，造成一人损工事</t>
  </si>
  <si>
    <t>5-5米筛焦楼除尘</t>
  </si>
  <si>
    <t>√ 人员加油按高处作业落实相关措施
√ 做好加油安全防护</t>
  </si>
  <si>
    <t>一名操作工又小腿骨折，住院30天，休息31天，损工61天。</t>
  </si>
  <si>
    <t>干熄车</t>
  </si>
  <si>
    <t>√ 人员上下爬梯抓牢扶手
√ 爬梯悬挂警示标志</t>
  </si>
  <si>
    <t>导致1人受伤治疗、休养共计损工3个月</t>
  </si>
  <si>
    <t>送煤车</t>
  </si>
  <si>
    <t>√ 割除废弃铁件
√ 及时消除安全隐患</t>
  </si>
  <si>
    <t>20-6-10</t>
  </si>
  <si>
    <t>造成一人受伤，治疗修养共计损工四个月</t>
  </si>
  <si>
    <t>拦焦平台北头扁铁翘起</t>
  </si>
  <si>
    <t>√ 重新焊接安装接地线
√ 道行人员注意安全</t>
  </si>
  <si>
    <t>造成颈椎错位，住院治疗三天，在家休养十五天。</t>
  </si>
  <si>
    <t>机侧1号负压管道下方</t>
  </si>
  <si>
    <t>√ 调整灯具位置
√ 加强安全管理</t>
  </si>
  <si>
    <t>20-6-12</t>
  </si>
  <si>
    <t>小腿骨折，就医修养六个月。</t>
  </si>
  <si>
    <t>吴云霞</t>
  </si>
  <si>
    <t>20-7-21</t>
  </si>
  <si>
    <t>熄焦</t>
  </si>
  <si>
    <t>√ 整修爬梯
√ 增设护笼</t>
  </si>
  <si>
    <t>焦四机尾爬梯</t>
  </si>
  <si>
    <t>√ 加固处置
√ 加强检查</t>
  </si>
  <si>
    <t>5米5送煤车</t>
  </si>
  <si>
    <t>小腿骨折，损工半年</t>
  </si>
  <si>
    <t>√ 恢复盖板
√ 焊接加固</t>
  </si>
  <si>
    <t>5米5推焦车</t>
  </si>
  <si>
    <t>抢救无效，死亡。</t>
  </si>
  <si>
    <t>推焦车</t>
  </si>
  <si>
    <t>√ 操作人员系牢安全带
√ 按标准加高护松</t>
  </si>
  <si>
    <t>5米5拦焦车</t>
  </si>
  <si>
    <t>少出六孔焦，损失经济效益约6万元</t>
  </si>
  <si>
    <t>拦焦车</t>
  </si>
  <si>
    <t>√ 检查瓷瓶
√ 及时修复更换</t>
  </si>
  <si>
    <t>环保事故</t>
  </si>
  <si>
    <t>√ 维修处理
√ 焊接加固</t>
  </si>
  <si>
    <t>20-6-13</t>
  </si>
  <si>
    <t>污水处理车间2#站</t>
  </si>
  <si>
    <t>右腿骨折，损工105天</t>
  </si>
  <si>
    <t>戴立军</t>
  </si>
  <si>
    <t>刘好运</t>
  </si>
  <si>
    <t>20-7-17</t>
  </si>
  <si>
    <t>液碱罐区</t>
  </si>
  <si>
    <t>√ 固定爬梯
√ 加护栏</t>
  </si>
  <si>
    <t>20-6-14</t>
  </si>
  <si>
    <t>两盐岗位</t>
  </si>
  <si>
    <t>操作工右臂轻微烫伤，送医务室上药后正常上班。</t>
  </si>
  <si>
    <t>王璇</t>
  </si>
  <si>
    <t>20-7-29</t>
  </si>
  <si>
    <t>搅拌器蒸汽吹扫管</t>
  </si>
  <si>
    <t>√ 悬挂警示牌或保温</t>
  </si>
  <si>
    <t>20-6-17</t>
  </si>
  <si>
    <t>右手电灼伤，损工10天</t>
  </si>
  <si>
    <t>董孝文</t>
  </si>
  <si>
    <t>20-7-23</t>
  </si>
  <si>
    <t>旋转密封阀处</t>
  </si>
  <si>
    <t>电器配电箱正常情况下需保持关闭</t>
  </si>
  <si>
    <t>√ 维修配电箱锁具，确保日常保持关闭状态</t>
  </si>
  <si>
    <t>仪表配电箱锁具</t>
  </si>
  <si>
    <t>右脚扭伤，损工7天</t>
  </si>
  <si>
    <t>20-9-2</t>
  </si>
  <si>
    <t>二次除尘</t>
  </si>
  <si>
    <t>安全意识强能发现安全隐患</t>
  </si>
  <si>
    <t>√ 联系维修尽快焊接安装防滑条</t>
  </si>
  <si>
    <t>已加装防滑条。</t>
  </si>
  <si>
    <t>20-6-18</t>
  </si>
  <si>
    <t>左肩骨折，损工三个月</t>
  </si>
  <si>
    <t>张川</t>
  </si>
  <si>
    <t>干熄炉三层</t>
  </si>
  <si>
    <t>护栏完好是防止高坠事故的有效措施，需确保其完整性有效性</t>
  </si>
  <si>
    <t>√ 加固护栏腐蚀处，防止失效人员坠落受伤</t>
  </si>
  <si>
    <t>维修焊接护栏腐蚀处</t>
  </si>
  <si>
    <t>一套设备停机，干熄焦降负荷</t>
  </si>
  <si>
    <t>一楼配电柜</t>
  </si>
  <si>
    <t>电气绝缘必须保障</t>
  </si>
  <si>
    <t>√ 在确保生产正常情况下，等合适机会停电更换，确保绝缘正常防止电气事故。</t>
  </si>
  <si>
    <t>电工更换，确保绝缘正常</t>
  </si>
  <si>
    <t>20-6-23</t>
  </si>
  <si>
    <t>员工脚腕扭伤</t>
  </si>
  <si>
    <t>毕玉宁</t>
  </si>
  <si>
    <t>一楼加药间</t>
  </si>
  <si>
    <t>盖板等的不完善是地沟伤人的主要问题，需及时修复</t>
  </si>
  <si>
    <t>√ 更换加固盖板，防止人员绊倒及坠入受伤</t>
  </si>
  <si>
    <t>盖板已重新更换</t>
  </si>
  <si>
    <t>人员触电，造成伤亡。</t>
  </si>
  <si>
    <t>20-7-30</t>
  </si>
  <si>
    <t>循环水冷却塔上部</t>
  </si>
  <si>
    <t>电气绝缘保持良好，防止触电及短路</t>
  </si>
  <si>
    <t>√ 联系电工对接线头绝缘情况进行检查处理，确保绝缘良好，防止触电</t>
  </si>
  <si>
    <t>安装盖板</t>
  </si>
  <si>
    <t>20-6-24</t>
  </si>
  <si>
    <t>高度过大处协调外协进行处理，防止隐患整改中的新隐患</t>
  </si>
  <si>
    <t>√ 联系公司外协进行处理，防止隐患整改中的新隐患，未整改前挂牌警示</t>
  </si>
  <si>
    <t>现场已挂警示牌</t>
  </si>
  <si>
    <t>主控楼三楼楼顶</t>
  </si>
  <si>
    <t>电气绝缘完好是防止触电事故的前提</t>
  </si>
  <si>
    <t>√ 进绝缘包扎，防止漏电，防止人员触电事故</t>
  </si>
  <si>
    <t>重新进行绝缘包扎</t>
  </si>
  <si>
    <t>阀门损坏，造成财产损失。</t>
  </si>
  <si>
    <t>董国庆</t>
  </si>
  <si>
    <t>主控楼顶</t>
  </si>
  <si>
    <t>防雨防水，保持设备正常</t>
  </si>
  <si>
    <t>√ 联系维修班加装防雨罩，保护阀门防止损坏造成生产影响</t>
  </si>
  <si>
    <t>加装防雨罩</t>
  </si>
  <si>
    <t>一名员工左脚脚踝骨折，损工100天</t>
  </si>
  <si>
    <t>消防水池南边爬梯</t>
  </si>
  <si>
    <t>及时加装防滑条</t>
  </si>
  <si>
    <t>√ 焊加防滑条，防止人员滑跌</t>
  </si>
  <si>
    <t>膝盖擦伤，休息后继续工作。</t>
  </si>
  <si>
    <t>20-7-27</t>
  </si>
  <si>
    <t>化产车间制氮机房</t>
  </si>
  <si>
    <t>√ 清除铁板</t>
  </si>
  <si>
    <t>一名员工左肩骨折，送医治疗，休养100天。</t>
  </si>
  <si>
    <t>锅炉给水泵房西侧</t>
  </si>
  <si>
    <t>大风天气来临，高处易坠物及时清除</t>
  </si>
  <si>
    <t>√ 清除电缆桥架盖板，防止掉落伤人，联系电工恢复</t>
  </si>
  <si>
    <t>电缆盖板已固定</t>
  </si>
  <si>
    <t>一名员工左臂骨裂，送医治疗，休养100天。</t>
  </si>
  <si>
    <t>消防水池顶部</t>
  </si>
  <si>
    <t>能发现问题做好防范，尽快联系维修整改</t>
  </si>
  <si>
    <t>√ 联系维修班更换加固腐蚀横档，防止人员受伤</t>
  </si>
  <si>
    <t>一名员工左脚踝扭伤，送医治疗，休养10天。</t>
  </si>
  <si>
    <t>5号减温减压处</t>
  </si>
  <si>
    <t>踏板为防滑花纹板，只需加强警示</t>
  </si>
  <si>
    <t>√ 悬挂安全警示牌，提高人员安全意识</t>
  </si>
  <si>
    <t>操作工从平台跌落，头部重伤，送医抢救无效死亡。</t>
  </si>
  <si>
    <t>刘连刚</t>
  </si>
  <si>
    <t>东地面除尘</t>
  </si>
  <si>
    <t>平台良好承受强度是减少人员坠落的保障，马上修复加固</t>
  </si>
  <si>
    <t>√ 加固平台腐蚀处，防止人员跌落受伤</t>
  </si>
  <si>
    <t>20-6-29</t>
  </si>
  <si>
    <t>化产车间北供水</t>
  </si>
  <si>
    <t>操作工在巡检时被吹落的盖板砸到肩膀，造成骨折损工一个月</t>
  </si>
  <si>
    <t>老凉水架</t>
  </si>
  <si>
    <t>√ 加固线缆盖板</t>
  </si>
  <si>
    <t>5.5米捣鼓仓</t>
  </si>
  <si>
    <t>1人死亡</t>
  </si>
  <si>
    <t>付洪亮</t>
  </si>
  <si>
    <t>5.5米捣鼓机西侧平</t>
  </si>
  <si>
    <t>影响正常生产作业至少四个小时。</t>
  </si>
  <si>
    <t>郭红岩</t>
  </si>
  <si>
    <t>送煤车大链条</t>
  </si>
  <si>
    <t>√ 维修更换
√ 加强维护</t>
  </si>
  <si>
    <t>备件已报计划</t>
  </si>
  <si>
    <t>造成影响正常生产作业，至少四小时。</t>
  </si>
  <si>
    <t>5米5焦炉炉顶</t>
  </si>
  <si>
    <t>人员手臂划伤，损工事故</t>
  </si>
  <si>
    <t>刘明明</t>
  </si>
  <si>
    <t>导烟车</t>
  </si>
  <si>
    <t>√ 更换玻璃
√ 固定玻璃</t>
  </si>
  <si>
    <t>一人脚部骨折损工事件</t>
  </si>
  <si>
    <t>刘建恩</t>
  </si>
  <si>
    <t>√ 整形处理
√ 更换加固</t>
  </si>
  <si>
    <t>化产车间焦油罐区</t>
  </si>
  <si>
    <t>电机进水造成短路，致使电机烧毁，造成财产损失2000元左右</t>
  </si>
  <si>
    <t>焦油罐区 液下泵</t>
  </si>
  <si>
    <t>√ 更换防雨罩</t>
  </si>
  <si>
    <t>一人小腿扭伤损工十天</t>
  </si>
  <si>
    <t>张茂顺</t>
  </si>
  <si>
    <t>5.5米送煤车</t>
  </si>
  <si>
    <t>√ 焊补加固
√ 维修处理</t>
  </si>
  <si>
    <t>触电 和触电后的二次事故</t>
  </si>
  <si>
    <t>20-7-9</t>
  </si>
  <si>
    <t>南风机电捕</t>
  </si>
  <si>
    <t>√ 查明原因，更换线缆</t>
  </si>
  <si>
    <t>化产车间两盐</t>
  </si>
  <si>
    <t>腿部骨折，住院治疗一个月，在家休养二个月损工三个月</t>
  </si>
  <si>
    <t>20-7-7</t>
  </si>
  <si>
    <t>√ 停止施工，进行安全培训</t>
  </si>
  <si>
    <t>原线路断头处易短路或漏电接地，造成原dcs负载大</t>
  </si>
  <si>
    <t>丛林</t>
  </si>
  <si>
    <t>东风机及西硫铵</t>
  </si>
  <si>
    <t>区域填写错误，不属于污水处理车间</t>
  </si>
  <si>
    <t>化产，深度脱硫</t>
  </si>
  <si>
    <t>线路裸露，易短路</t>
  </si>
  <si>
    <t>1#风机</t>
  </si>
  <si>
    <t>现场线路剪裁后接入主电缆，原电缆接在东风机dcs，现场易短路</t>
  </si>
  <si>
    <t>东风机dcs柜</t>
  </si>
  <si>
    <t>20-7-4</t>
  </si>
  <si>
    <t>炼焦车间熄焦岗位</t>
  </si>
  <si>
    <t>设备损坏，影响干熄焦发电，造成财产损失</t>
  </si>
  <si>
    <t>冯成忠</t>
  </si>
  <si>
    <t>20-8-8</t>
  </si>
  <si>
    <t>√ 做好防雨措施
√ 处理漏雨部位</t>
  </si>
  <si>
    <t>20-7-5</t>
  </si>
  <si>
    <t>造成人身伤害，家庭负担加重，在家治愈修养半年。</t>
  </si>
  <si>
    <t>上升管平台</t>
  </si>
  <si>
    <t>√ 调整平台
√ 人员操作加强防范</t>
  </si>
  <si>
    <t>巡检人员脸部划伤，上医务室消毒上药后在家休养2天。损工2天。</t>
  </si>
  <si>
    <t>夏园园</t>
  </si>
  <si>
    <t>20-8-6</t>
  </si>
  <si>
    <t>南风机房西侧电缆架上</t>
  </si>
  <si>
    <t>√ 清除管架上部旧铝皮</t>
  </si>
  <si>
    <t>5.5米捣固</t>
  </si>
  <si>
    <t>捣鼓杆坠落造成一人伤亡。</t>
  </si>
  <si>
    <t>扈金星</t>
  </si>
  <si>
    <t>5.5米捣鼓机</t>
  </si>
  <si>
    <t>√ 加固保险钩
√ 加强巡查</t>
  </si>
  <si>
    <t>一维修工腰部骨折，损工七个月</t>
  </si>
  <si>
    <t>√ 修复爬梯
√ 加固护栏</t>
  </si>
  <si>
    <t>设备损坏，经济损失11万元。</t>
  </si>
  <si>
    <t>李夕良</t>
  </si>
  <si>
    <t>√ 清理道轨杂物
√ 行车前加强检查</t>
  </si>
  <si>
    <t>20-7-8</t>
  </si>
  <si>
    <t>一名巡检员手臂骨折，住院一个月损工三个月。</t>
  </si>
  <si>
    <t>王军</t>
  </si>
  <si>
    <t>捣固机南门</t>
  </si>
  <si>
    <t>√ 清理杂物
√ 保持通道畅通</t>
  </si>
  <si>
    <t>造成一人死亡事故</t>
  </si>
  <si>
    <t>20-10-20</t>
  </si>
  <si>
    <t>熄焦车滑线上方</t>
  </si>
  <si>
    <t>电气防水措施落实好才能防止触电伤亡事故</t>
  </si>
  <si>
    <t>√ 加装防水挡篷，防止造成电气绝缘不良漏电触电</t>
  </si>
  <si>
    <t>5.5米焦炉推焦车</t>
  </si>
  <si>
    <t>一名操作工肩部骨折，损工3个月</t>
  </si>
  <si>
    <t>贾永玲</t>
  </si>
  <si>
    <t>√ 维修加固
√ 及时整改</t>
  </si>
  <si>
    <t>20-7-12</t>
  </si>
  <si>
    <t>后经医务室处理继续上班</t>
  </si>
  <si>
    <t>南循环水</t>
  </si>
  <si>
    <t>√ 更换电极丝</t>
  </si>
  <si>
    <t>20-7-14</t>
  </si>
  <si>
    <t>消防报警按钮盒进水，造成误消防报警。</t>
  </si>
  <si>
    <t>20-7-31</t>
  </si>
  <si>
    <t>粗苯东侧立柱</t>
  </si>
  <si>
    <t>√ 加固报警按钮</t>
  </si>
  <si>
    <t>化产车间 两盐工段</t>
  </si>
  <si>
    <t>左小腿划伤</t>
  </si>
  <si>
    <t>原料罐平台</t>
  </si>
  <si>
    <t>√ 除锈加固</t>
  </si>
  <si>
    <t>20-7-16</t>
  </si>
  <si>
    <t>刮坏导烟罩，造成环保事故！</t>
  </si>
  <si>
    <t>运动物伤害</t>
  </si>
  <si>
    <t>20-9-3</t>
  </si>
  <si>
    <t>√ 修复干熄罐护圈
√ 加强巡检巡查</t>
  </si>
  <si>
    <t>触电抢救无效死亡</t>
  </si>
  <si>
    <t>炉顶北头悬臂吊处</t>
  </si>
  <si>
    <t>√ 电工维修处理
√ 拉闸断电</t>
  </si>
  <si>
    <t>化产车间北脱硫</t>
  </si>
  <si>
    <t>一人膝盖轻微擦伤，送医护室简单处理继续工作。</t>
  </si>
  <si>
    <t>高德钦</t>
  </si>
  <si>
    <t>蒸氨塔北花砖</t>
  </si>
  <si>
    <t>√ 清除废旧铁管</t>
  </si>
  <si>
    <t>20-7-18</t>
  </si>
  <si>
    <t>人员触电，造成一人死亡</t>
  </si>
  <si>
    <t>于松国</t>
  </si>
  <si>
    <t>巡检全面细致安全意识强</t>
  </si>
  <si>
    <t>√ 联系电仪对接线盒进行处理密封</t>
  </si>
  <si>
    <t>电工对接线盒密封</t>
  </si>
  <si>
    <t>20-7-19</t>
  </si>
  <si>
    <t>左手手掌电灼伤，损工15天</t>
  </si>
  <si>
    <t>主控楼楼顶4号减温减</t>
  </si>
  <si>
    <t>电气绝缘良好是防止触电的有效手段</t>
  </si>
  <si>
    <t>√ 处理裸露的伴热带，保证良好的绝缘性能，防止触电</t>
  </si>
  <si>
    <t>仪表处理裸露的伴热带</t>
  </si>
  <si>
    <t>右手手指电灼伤，损工15天</t>
  </si>
  <si>
    <t>20-9-19</t>
  </si>
  <si>
    <t>2#提升机北门</t>
  </si>
  <si>
    <t>电线加强绝缘防护，防止触电</t>
  </si>
  <si>
    <t>√ 清除不用的电线，防止触电</t>
  </si>
  <si>
    <t>电工撤除不用的电缆</t>
  </si>
  <si>
    <t>5米5熄焦，炼焦车间</t>
  </si>
  <si>
    <t>造成环保事故，集团公司通报批评</t>
  </si>
  <si>
    <t>李宁</t>
  </si>
  <si>
    <t>电气绝缘良好是防止触电事故的有效手段</t>
  </si>
  <si>
    <t>√ 联系电工处理裸露的电线，保证良好的绝缘性能，防止触电</t>
  </si>
  <si>
    <t>电工处理裸露电线，防止触电</t>
  </si>
  <si>
    <t>左脚踝严重扭伤，损工三个月。</t>
  </si>
  <si>
    <t>不良操作环境易引发人员伤害事故，需创造好的作业环境</t>
  </si>
  <si>
    <t>√ 加装通行跨越爬梯，创造方便的操作环境，防止行动不便受伤</t>
  </si>
  <si>
    <t>悬挂警示牌，提醒注意烫伤绊倒</t>
  </si>
  <si>
    <t>20-7-22</t>
  </si>
  <si>
    <t>送医院鉴定为脸部轻微烫伤、修养一天</t>
  </si>
  <si>
    <t>结晶器</t>
  </si>
  <si>
    <t>√ 处理泄漏点</t>
  </si>
  <si>
    <t>一人摔伤右手腕骨折损工三个月</t>
  </si>
  <si>
    <t>于秋菊</t>
  </si>
  <si>
    <t>南循环水泵房外</t>
  </si>
  <si>
    <t>√ 更换照明灯</t>
  </si>
  <si>
    <t>脚部扭伤，损工3天。</t>
  </si>
  <si>
    <t>北脱硫碱液罐</t>
  </si>
  <si>
    <t>√ 悬挂爬梯警示牌</t>
  </si>
  <si>
    <t>人员伤害。</t>
  </si>
  <si>
    <t>汽轮机零米冷油器西侧</t>
  </si>
  <si>
    <t>能发现小异常引发的安全问题，及时修复</t>
  </si>
  <si>
    <t>√ 联系维修更换窗户玻璃，防止人员划伤</t>
  </si>
  <si>
    <t>现场玻璃已更换</t>
  </si>
  <si>
    <t>制氮机组</t>
  </si>
  <si>
    <t>巡检工右脚轻微扭伤</t>
  </si>
  <si>
    <t>吴轲</t>
  </si>
  <si>
    <t>蒸发冷</t>
  </si>
  <si>
    <t>√ 清除铁管</t>
  </si>
  <si>
    <t>一名员工左肩骨折，住院治疗十天，休养三个月，损工100天</t>
  </si>
  <si>
    <t>废弃管道应及时拆除</t>
  </si>
  <si>
    <t>√ 联系维修人员拆除循环水池边的废弃管道，保证作业现场安全整洁</t>
  </si>
  <si>
    <t>联系维修拆除</t>
  </si>
  <si>
    <t>生产装置停车</t>
  </si>
  <si>
    <t>李清涛</t>
  </si>
  <si>
    <t>碳化一楼</t>
  </si>
  <si>
    <t>√ 及时联系维修恢复泵正常运行恢复生产</t>
  </si>
  <si>
    <t>及时修复碳化泵恢复生产减少经济损失</t>
  </si>
  <si>
    <t>一名员工左脚脚踝划伤出血，限工五天</t>
  </si>
  <si>
    <t>一次除尘二层平台</t>
  </si>
  <si>
    <t>加固空隙过大处</t>
  </si>
  <si>
    <t>√ 加固空隙过大处，焊加铁板防止人员受伤</t>
  </si>
  <si>
    <t>一人触电损工8天</t>
  </si>
  <si>
    <t>陈连胜</t>
  </si>
  <si>
    <t>包装机</t>
  </si>
  <si>
    <t>√ 将电源裸露的地方用绝缘胶带或绝缘管包裹</t>
  </si>
  <si>
    <t>裸露电源线用绝缘胶带包裹杜绝隐患的发生</t>
  </si>
  <si>
    <t>20-7-24</t>
  </si>
  <si>
    <t>干熄炉东侧地面除尘</t>
  </si>
  <si>
    <t>平台需及时完善，防止人员坠落</t>
  </si>
  <si>
    <t>焊补腐蚀处</t>
  </si>
  <si>
    <t>摔倒擦伤</t>
  </si>
  <si>
    <t>南风机初冷器</t>
  </si>
  <si>
    <t>√ 接地线贴地面压实</t>
  </si>
  <si>
    <t>一名员工右臂划伤，休养一天</t>
  </si>
  <si>
    <t>环境除尘三层</t>
  </si>
  <si>
    <t>高处坠物虽重量轻，但仍有伤人风险</t>
  </si>
  <si>
    <t>已重新更换固定</t>
  </si>
  <si>
    <t>一名职工脚踝扭伤，损工10天</t>
  </si>
  <si>
    <t>刘桂圣</t>
  </si>
  <si>
    <t>除盐水箱爬梯</t>
  </si>
  <si>
    <t>及时完善爬梯踏步</t>
  </si>
  <si>
    <t>√ 联系维修班在爬梯下部增加一层踏步平台，防止人员跌落摔伤</t>
  </si>
  <si>
    <t>20-7-25</t>
  </si>
  <si>
    <t>高压配电室隔离柜</t>
  </si>
  <si>
    <t>电气温度检测的准确有效可以尽早发现异常及时处理</t>
  </si>
  <si>
    <t>× 联系维修电仪人员尽快修复温度检测装置，防止电气故障引发安全事故</t>
  </si>
  <si>
    <t>现场测温仪测温</t>
  </si>
  <si>
    <t>脚踝扭伤，休养7天。</t>
  </si>
  <si>
    <t>汽机房一楼</t>
  </si>
  <si>
    <t>地沟盖板严密是防止失足受伤的保证</t>
  </si>
  <si>
    <t>√ 地沟盖板放置于有效位置，确保足够强度和稳固度，防止人员踩翻受伤</t>
  </si>
  <si>
    <t>维修更换铁板</t>
  </si>
  <si>
    <t>一人鼻骨骨折，送医治疗，休养30天。</t>
  </si>
  <si>
    <t>宋海泉</t>
  </si>
  <si>
    <t>提升机东侧</t>
  </si>
  <si>
    <t>拆除施工现场必须保持工完场地清</t>
  </si>
  <si>
    <t>√ 清除通道杂物，防止人员绊倒受伤</t>
  </si>
  <si>
    <t>杂物已清理</t>
  </si>
  <si>
    <t>20-7-26</t>
  </si>
  <si>
    <t>立即就医，住院15天，在家休养2月。损工一人</t>
  </si>
  <si>
    <t>庞兴太</t>
  </si>
  <si>
    <t>南脱硫爬梯</t>
  </si>
  <si>
    <t>√ 加固爬梯护栏</t>
  </si>
  <si>
    <t>造成多处擦伤，到医务室处理后返回岗位。</t>
  </si>
  <si>
    <t>二层平台</t>
  </si>
  <si>
    <t>√ 更换铁板封堵</t>
  </si>
  <si>
    <t>电工触电死亡</t>
  </si>
  <si>
    <t>岳凯</t>
  </si>
  <si>
    <t>无效隐患</t>
  </si>
  <si>
    <t>污水处理车间1</t>
  </si>
  <si>
    <t>财产损失5000元</t>
  </si>
  <si>
    <t>毛兴波</t>
  </si>
  <si>
    <t>20-10-25</t>
  </si>
  <si>
    <t>1号站生化缺氧池</t>
  </si>
  <si>
    <t>√ 维修电缆线</t>
  </si>
  <si>
    <t>操作工巡检时不慎踩空造成腿部划伤，去医务室包扎处理后复工</t>
  </si>
  <si>
    <t>20-8-1</t>
  </si>
  <si>
    <t>无法打饼4小时</t>
  </si>
  <si>
    <t>√ 维修焊接加固
√ 加强巡检巡查</t>
  </si>
  <si>
    <t>焦炉停产8小时</t>
  </si>
  <si>
    <t>√ 加强巡检巡查
√ 及时焊补 处理</t>
  </si>
  <si>
    <t>五万元财产损失</t>
  </si>
  <si>
    <t>炉顶导烟车</t>
  </si>
  <si>
    <t>√ 检查电气线路
√ 消除连电部位隐患</t>
  </si>
  <si>
    <t>5.5米捣固机</t>
  </si>
  <si>
    <t>设备损坏，财产损失约10~30万元</t>
  </si>
  <si>
    <t>4号捣固机</t>
  </si>
  <si>
    <t>√ 焊接加固
√ 维修处理</t>
  </si>
  <si>
    <t>导致该操作工触电身亡</t>
  </si>
  <si>
    <t>白立军</t>
  </si>
  <si>
    <t>20-8-31</t>
  </si>
  <si>
    <t>两盐出料泵</t>
  </si>
  <si>
    <t>√ 安装电机接地线</t>
  </si>
  <si>
    <t>20-8-2</t>
  </si>
  <si>
    <t>5.5米焦炉烟道通廊</t>
  </si>
  <si>
    <t>待整改</t>
  </si>
  <si>
    <t>20-10-31</t>
  </si>
  <si>
    <t>烟道通廊南头</t>
  </si>
  <si>
    <t>× 提报计划，联系外协施工处理
× 现场设置警示标志，人员禁止通行</t>
  </si>
  <si>
    <t>20-8-4</t>
  </si>
  <si>
    <t>5.5米筛焦楼</t>
  </si>
  <si>
    <t>20-9-7</t>
  </si>
  <si>
    <t>筛焦楼焦仓北检修窗口</t>
  </si>
  <si>
    <t>√ 增设护栏
√ 系挂安全带</t>
  </si>
  <si>
    <t>20-8-5</t>
  </si>
  <si>
    <t>造成腿骨粉碎性骨折，医院治疗半年，在家修养一年</t>
  </si>
  <si>
    <t>√ 试用时专人监护
√ 试用完及时固定或拆除</t>
  </si>
  <si>
    <t>造成经济损失1万元</t>
  </si>
  <si>
    <t>√ 更换压力表避免工艺超标</t>
  </si>
  <si>
    <t>及时更换压力表避免工艺超标造成不必要的经济损失</t>
  </si>
  <si>
    <t>20-8-7</t>
  </si>
  <si>
    <t>住院治疗十天，在家休养90天</t>
  </si>
  <si>
    <t>5.5米焦炉南端</t>
  </si>
  <si>
    <t>√ 清理槽钢
√ 固定风机</t>
  </si>
  <si>
    <t>导致一人死亡</t>
  </si>
  <si>
    <t>捣固机</t>
  </si>
  <si>
    <t>√ 修复保险钩
√ 清扫卫生前确认保险钩位置</t>
  </si>
  <si>
    <t>造成1人住院、休养共计损工3个月</t>
  </si>
  <si>
    <t>20-9-8</t>
  </si>
  <si>
    <t>√ 加固平台铺板
√ 人员禁止靠近</t>
  </si>
  <si>
    <t>造成一人面部深度烧伤，送医治疗15天在家修养60天，损工事件</t>
  </si>
  <si>
    <t>董黎明</t>
  </si>
  <si>
    <t>√ 维修更换阀门位置
√ 操作阀门戴防护面罩</t>
  </si>
  <si>
    <t>造成一人右手臂骨折，送医治疗30天，在家休养60天。损工事件</t>
  </si>
  <si>
    <t>北端二层平台</t>
  </si>
  <si>
    <t>√ 焊接加固护栏
√ 人员禁止倚靠护栏</t>
  </si>
  <si>
    <t>1人颅骨骨折，就医休养18个月</t>
  </si>
  <si>
    <t>孟德强</t>
  </si>
  <si>
    <t>20-8-13</t>
  </si>
  <si>
    <t>干熄焦框架平台</t>
  </si>
  <si>
    <t>√ 零星铁件收集整理至地下后规整放至废铁件堆。
√ 注意日常巡查，发现类似高坠危害因素，及时消除</t>
  </si>
  <si>
    <t>铁件已清理</t>
  </si>
  <si>
    <t>胸部2根肋骨骨折，就医休养6个月</t>
  </si>
  <si>
    <t>20-8-16</t>
  </si>
  <si>
    <t>水熄泵房北</t>
  </si>
  <si>
    <t>√ 归置铁件，整理现场。
√ 保持通道畅通。</t>
  </si>
  <si>
    <t>腰部扭伤，休息继续工作。</t>
  </si>
  <si>
    <t>20-8-30</t>
  </si>
  <si>
    <t>粗苯贫油冷却器</t>
  </si>
  <si>
    <t>√ 悬挂警示牌</t>
  </si>
  <si>
    <t>20-8-12</t>
  </si>
  <si>
    <t>化产粗苯</t>
  </si>
  <si>
    <t>下雨进水，220v电源接地，断路器跳闸，影响JFE废水计量</t>
  </si>
  <si>
    <t>污水北侧管廊</t>
  </si>
  <si>
    <t>无效</t>
  </si>
  <si>
    <t>右小臂骨折，损工75天</t>
  </si>
  <si>
    <t>20-10-23</t>
  </si>
  <si>
    <t>芬顿罐区</t>
  </si>
  <si>
    <t>√ 添加照明灯
√ 清楚障碍物</t>
  </si>
  <si>
    <t>电机进水烧坏，经济损失3000元</t>
  </si>
  <si>
    <t>吴玉才</t>
  </si>
  <si>
    <t>禄洪帅</t>
  </si>
  <si>
    <t>20-10-11</t>
  </si>
  <si>
    <t>中水酸碱加药间</t>
  </si>
  <si>
    <t>√ 屋顶进行防水处理</t>
  </si>
  <si>
    <t>化产车间，深度脫硫</t>
  </si>
  <si>
    <t>摄像头支架腐蚀严重导致脱落摔坏，造成经济损失500元</t>
  </si>
  <si>
    <t>深度脱硫</t>
  </si>
  <si>
    <t>√ 加固支撑支架</t>
  </si>
  <si>
    <t>20-8-14</t>
  </si>
  <si>
    <t>一名巡检工后颈部轻微划伤，送医务室包扎处理，无损工。</t>
  </si>
  <si>
    <t>洗脱苯泵房</t>
  </si>
  <si>
    <t>√ 加固固定桥架线缆盖板</t>
  </si>
  <si>
    <t>20-8-15</t>
  </si>
  <si>
    <t>右脚擦伤包扎处理后继续工作。无损工</t>
  </si>
  <si>
    <t>粗笨地沟</t>
  </si>
  <si>
    <t>√ 更换破损盖板</t>
  </si>
  <si>
    <t>备煤东线</t>
  </si>
  <si>
    <t>人员腿部骨折，损工3个月</t>
  </si>
  <si>
    <t>张冬梅</t>
  </si>
  <si>
    <t>东一通廊西侧</t>
  </si>
  <si>
    <t>监护人在现场</t>
  </si>
  <si>
    <t>化产车间，南化产</t>
  </si>
  <si>
    <t>触电 摔倒</t>
  </si>
  <si>
    <t>初冷器</t>
  </si>
  <si>
    <t>√ 更换修缮线路</t>
  </si>
  <si>
    <t>20-8-17</t>
  </si>
  <si>
    <t>脚腕骨折，休养六个月</t>
  </si>
  <si>
    <t>刘强元</t>
  </si>
  <si>
    <t>20-10-3</t>
  </si>
  <si>
    <t>√ 恢复设备装置
√ 及时修复篦子板</t>
  </si>
  <si>
    <t>手臂骨折，就医修养六个月。</t>
  </si>
  <si>
    <t>扒焦</t>
  </si>
  <si>
    <t>√ 恢复护栏
√ 加强防护</t>
  </si>
  <si>
    <t>造成操作工面部肩部大面积创伤，住院治疗7天，损工15天</t>
  </si>
  <si>
    <t>孙超</t>
  </si>
  <si>
    <t>机侧通廊</t>
  </si>
  <si>
    <t>√ 固定彩钢瓦
√ 维修及时处理</t>
  </si>
  <si>
    <t>脚踝骨折，损工三月</t>
  </si>
  <si>
    <t>车载除尘</t>
  </si>
  <si>
    <t>√ 增设警示标识
√ 上下爬梯抓牢扶手</t>
  </si>
  <si>
    <t>一名人员高空坠落死亡</t>
  </si>
  <si>
    <t>20-9-18</t>
  </si>
  <si>
    <t>西硫铵终冷塔</t>
  </si>
  <si>
    <t>√ 改造交通阀处爬梯</t>
  </si>
  <si>
    <t>20-9-4</t>
  </si>
  <si>
    <t>氮气无法外供，造成多岗位停产停工</t>
  </si>
  <si>
    <t>制氮机房</t>
  </si>
  <si>
    <t>√ 安装防雨罩或修补顶部</t>
  </si>
  <si>
    <t>到医务室消毒处理后，返回岗位</t>
  </si>
  <si>
    <t>两盐大棚</t>
  </si>
  <si>
    <t>√ 设立警示标识，或集水坑安装防护网</t>
  </si>
  <si>
    <t>造成操作工颈部表面划伤，送医务室包扎后，损工一天</t>
  </si>
  <si>
    <t>两盐</t>
  </si>
  <si>
    <t>√ 清除窗户框架内破损玻璃</t>
  </si>
  <si>
    <t>20-8-18</t>
  </si>
  <si>
    <t>轻微脑震荡，损工三天</t>
  </si>
  <si>
    <t>副省煤器</t>
  </si>
  <si>
    <t>高处坠物伤人的事时有发生，虽然重量不大，但从高处坠落时同样具有伤害性</t>
  </si>
  <si>
    <t>√ 加固易掉落的铁皮，防止高坠伤人</t>
  </si>
  <si>
    <t>加固易掉落铁皮</t>
  </si>
  <si>
    <t>20-8-19</t>
  </si>
  <si>
    <t>操作工砸伤</t>
  </si>
  <si>
    <t>刘成林</t>
  </si>
  <si>
    <t>右前臂划伤，限工两天</t>
  </si>
  <si>
    <t>刘丽丽</t>
  </si>
  <si>
    <t>能看到窗户玻璃存在的风险很好，风险虽小确实是存在问题，应尽快整改</t>
  </si>
  <si>
    <t>√ 去除破裂的玻璃，更换新玻璃，防止人员划伤</t>
  </si>
  <si>
    <t>更换玻璃</t>
  </si>
  <si>
    <t>右小腿划伤，损工7天。</t>
  </si>
  <si>
    <t>循环水消防水池北侧</t>
  </si>
  <si>
    <t>盖板保持完好防止人员受伤</t>
  </si>
  <si>
    <t>更换地面盖板</t>
  </si>
  <si>
    <t>高空坠落1人死亡</t>
  </si>
  <si>
    <t>秦海伟</t>
  </si>
  <si>
    <t>提升机7层</t>
  </si>
  <si>
    <t>高处腐蚀平台不得进入</t>
  </si>
  <si>
    <t>√ 对危险区域进行锁闭，禁止人员进入</t>
  </si>
  <si>
    <t>提升机7层维修对照明灯焊接加固</t>
  </si>
  <si>
    <t>住院治疗2天，在家休养4天后康复</t>
  </si>
  <si>
    <t>突出部位易造成人员刮蹭受伤，需及时处理</t>
  </si>
  <si>
    <t>√ 联系维修人员将过长支架部分割除，防止人员绊倒</t>
  </si>
  <si>
    <t>维修将过长支架割除</t>
  </si>
  <si>
    <t>爆炸造成三名检修人员当场死亡</t>
  </si>
  <si>
    <t>地下（含水下）作业环境不良</t>
  </si>
  <si>
    <t>任成华</t>
  </si>
  <si>
    <t>西硫铵东侧4号水封</t>
  </si>
  <si>
    <t>√ 4号水封排水管疏通到地沟</t>
  </si>
  <si>
    <t>20-8-23</t>
  </si>
  <si>
    <t>轻微中毒，损工两天。</t>
  </si>
  <si>
    <t>化学性危险和有害因素</t>
  </si>
  <si>
    <t>张守勇</t>
  </si>
  <si>
    <t>粗苯洗油槽处</t>
  </si>
  <si>
    <t>√ 维修处理泄漏点，紧固法兰</t>
  </si>
  <si>
    <t>北循环水</t>
  </si>
  <si>
    <t>脚部扭伤，经住院治疗一周，在家休养30天后复工</t>
  </si>
  <si>
    <t>赵丽香</t>
  </si>
  <si>
    <t>备煤西线</t>
  </si>
  <si>
    <t>绊倒擦伤</t>
  </si>
  <si>
    <t>刘金海</t>
  </si>
  <si>
    <t>20-9-5</t>
  </si>
  <si>
    <t>√ 电工更换灯泡
√ 人员在光线昏暗的情况下，要注意脚下安全</t>
  </si>
  <si>
    <t>20-8-24</t>
  </si>
  <si>
    <t>一人面部擦伤，鼻骨骨折，住院治疗10天，休养一个月。</t>
  </si>
  <si>
    <t>干熄焦锅炉</t>
  </si>
  <si>
    <t>安全意识强巡查认真细致</t>
  </si>
  <si>
    <t>√ 联系维修对翘起处焊接加固</t>
  </si>
  <si>
    <t>维修焊接</t>
  </si>
  <si>
    <t>脚部扭伤，在家休养7天复工。损工一人。</t>
  </si>
  <si>
    <t>北脱硫氨水过滤器爬梯</t>
  </si>
  <si>
    <t>右侧膝盖骨骨裂，住院治疗10天，休养两个月。</t>
  </si>
  <si>
    <t>× 联系维修加装护栏</t>
  </si>
  <si>
    <t>已挂警示牌</t>
  </si>
  <si>
    <t>√ 焊接加固破损处</t>
  </si>
  <si>
    <t>轻微脑震荡，休养七天。</t>
  </si>
  <si>
    <t>√ 及时清理现场杂物</t>
  </si>
  <si>
    <t>MVR 二楼</t>
  </si>
  <si>
    <t>原料液溅入眼内，造成眼部伤害用清水清洗休息片刻后复工。</t>
  </si>
  <si>
    <t>刘滨</t>
  </si>
  <si>
    <t>√ 安装护罩，处理漏点</t>
  </si>
  <si>
    <t>20-8-25</t>
  </si>
  <si>
    <t>左臂骨折住院疗养3个月</t>
  </si>
  <si>
    <t>干熄焦环境除尘爬梯</t>
  </si>
  <si>
    <t>巡查认真细致安全意识强</t>
  </si>
  <si>
    <t>√ 更换加固护栏踏板</t>
  </si>
  <si>
    <t>一人员高空坠落，头部触地当场死亡</t>
  </si>
  <si>
    <t>装入装置五层</t>
  </si>
  <si>
    <t>√ 加固更换平台</t>
  </si>
  <si>
    <t>加警戒线，警示牌禁止通行</t>
  </si>
  <si>
    <t>一人员右肩骨折，住院治疗休养100天</t>
  </si>
  <si>
    <t>环境除尘平台顶部</t>
  </si>
  <si>
    <t>巡检全面细致入微安全意识强</t>
  </si>
  <si>
    <t>√ 联系电仪更换加固破损桥架</t>
  </si>
  <si>
    <t>一人员跌落地面抢救无效死亡</t>
  </si>
  <si>
    <t>安全意识强巡检全面细致</t>
  </si>
  <si>
    <t>√ 焊接加固护栏</t>
  </si>
  <si>
    <t>左腿小腿骨折，损工2个月</t>
  </si>
  <si>
    <t>乔玉杰</t>
  </si>
  <si>
    <t>2号饱和器三层</t>
  </si>
  <si>
    <t>√ 用铁板封堵</t>
  </si>
  <si>
    <t>皮带磨损撕裂</t>
  </si>
  <si>
    <t>李祥村</t>
  </si>
  <si>
    <t>东五</t>
  </si>
  <si>
    <t>√ 更换托辊
√ 如偏带及时调整，防止划伤皮带</t>
  </si>
  <si>
    <t>20-8-27</t>
  </si>
  <si>
    <t>化工厂碳铵区域</t>
  </si>
  <si>
    <t>手部软组织损伤住院3天在家休养5天造成一人损工事件。</t>
  </si>
  <si>
    <t>自动包装机</t>
  </si>
  <si>
    <t>√ 固定电机叶轮防护罩避免造成人员伤害</t>
  </si>
  <si>
    <t>螺丝固定电机叶轮防护罩消除隐患</t>
  </si>
  <si>
    <t>化产车间南冷凝</t>
  </si>
  <si>
    <t>一人损工90天</t>
  </si>
  <si>
    <t>胡红晨</t>
  </si>
  <si>
    <t>冷凝，南澄清槽机头</t>
  </si>
  <si>
    <t>√ 更换爬梯</t>
  </si>
  <si>
    <t>一人损工十天</t>
  </si>
  <si>
    <t>南化产区域</t>
  </si>
  <si>
    <t>√ 更换配电箱</t>
  </si>
  <si>
    <t>职工绊倒，手腕挫伤。</t>
  </si>
  <si>
    <t>硫铵西侧现场</t>
  </si>
  <si>
    <t>√ 及时清理现场铁管</t>
  </si>
  <si>
    <t>原料液喷入眼中，用大量清水清洗，休息一会正常工作。</t>
  </si>
  <si>
    <t>MVR二楼</t>
  </si>
  <si>
    <t>√ 佩戴护目镜</t>
  </si>
  <si>
    <t>维修已经焊接泄漏点</t>
  </si>
  <si>
    <t>20-8-28</t>
  </si>
  <si>
    <t>煤场天车</t>
  </si>
  <si>
    <t>因钢丝绳断裂，抓斗坠落，造成重大经济损失</t>
  </si>
  <si>
    <t>刘清明</t>
  </si>
  <si>
    <t>天车</t>
  </si>
  <si>
    <t>化产车间制氮机</t>
  </si>
  <si>
    <t>巡检工右脚轻微扭伤，无损工。</t>
  </si>
  <si>
    <t>除盐水罐</t>
  </si>
  <si>
    <t>√ 撤除水管</t>
  </si>
  <si>
    <t>75T锅炉热力车间</t>
  </si>
  <si>
    <t>住院治疗15天，在家休养一个月的损工事件。</t>
  </si>
  <si>
    <t>曹建</t>
  </si>
  <si>
    <t>75T锅锅1楼</t>
  </si>
  <si>
    <t>操作</t>
  </si>
  <si>
    <t>热力车间硫铵楼南侧</t>
  </si>
  <si>
    <t>一名操作工手肘划伤，损工一天</t>
  </si>
  <si>
    <t>储水罐</t>
  </si>
  <si>
    <t>停运设备</t>
  </si>
  <si>
    <t>氨水罐区</t>
  </si>
  <si>
    <t>造成周围氨水指标超标，出现环保污染</t>
  </si>
  <si>
    <t>李光进</t>
  </si>
  <si>
    <t>氨水罐</t>
  </si>
  <si>
    <t>无</t>
  </si>
  <si>
    <t>20-8-29</t>
  </si>
  <si>
    <t>一名操作工划伤左胳膊，无损工。</t>
  </si>
  <si>
    <t>刘钦利</t>
  </si>
  <si>
    <t>√ 加固开裂窗框</t>
  </si>
  <si>
    <t>碳化塔操作区</t>
  </si>
  <si>
    <t>一操作人员被坠物砸伤头部，损工一月</t>
  </si>
  <si>
    <t>王福庆</t>
  </si>
  <si>
    <t>三楼操作平台</t>
  </si>
  <si>
    <t>√ 加装踢脚板，杜绝隐患的发生</t>
  </si>
  <si>
    <t>一操作工路过被平台处坠落物距伤头部，损工一月</t>
  </si>
  <si>
    <t>√ 加装踢脚板杜绝隐患发生</t>
  </si>
  <si>
    <t>35t锅炉，</t>
  </si>
  <si>
    <t>造成电源短路，漏电伤人</t>
  </si>
  <si>
    <t>造成操作工头部着地送往医院救治，限工2个月</t>
  </si>
  <si>
    <t>蒸铵</t>
  </si>
  <si>
    <t>√ 加固护栏</t>
  </si>
  <si>
    <t>一人右腿骨折，损工三个月。</t>
  </si>
  <si>
    <t>许开通</t>
  </si>
  <si>
    <t>√ 维修处理
√ 及时联系维修处理，人员作业时绕行</t>
  </si>
  <si>
    <t>热力车间院西北角</t>
  </si>
  <si>
    <t>扭伤脚腕，休班三天。</t>
  </si>
  <si>
    <t>秦光义</t>
  </si>
  <si>
    <t>，</t>
  </si>
  <si>
    <t>化学水老系统</t>
  </si>
  <si>
    <t>产水减少四十立方，造成用水单位减产</t>
  </si>
  <si>
    <t>董丽霞</t>
  </si>
  <si>
    <t>化学水EDI处</t>
  </si>
  <si>
    <t>5.5.米机侧除尘</t>
  </si>
  <si>
    <t>造成腿部骨折，住院40天，休养5个月康复</t>
  </si>
  <si>
    <t>机侧除尘地面除尘</t>
  </si>
  <si>
    <t>√ 上下爬梯抓牢扶手
√ 规范使用安全带</t>
  </si>
  <si>
    <t>设备损坏，停止出焦4小时</t>
  </si>
  <si>
    <t>√ 加装固定销
√ 定期检查更换</t>
  </si>
  <si>
    <t>汽机一楼，空冷器东侧</t>
  </si>
  <si>
    <t>送医院治疗，腿部缝了十针，住院十五天，限工十五天</t>
  </si>
  <si>
    <t>王帅</t>
  </si>
  <si>
    <t>20-10-27</t>
  </si>
  <si>
    <t>空冷器东侧</t>
  </si>
  <si>
    <t>× 恢复盖板
× 盖好，保持盖板齐全</t>
  </si>
  <si>
    <t>75T锅炉输煤系统</t>
  </si>
  <si>
    <t>员工受伤，在医院治疗10天，在家休养20天，痊愈。损工30天</t>
  </si>
  <si>
    <t>康鲁鲁</t>
  </si>
  <si>
    <t>二号皮带靠皮带称位置</t>
  </si>
  <si>
    <t>防爆灯</t>
  </si>
  <si>
    <t>热力75t锅炉</t>
  </si>
  <si>
    <t>送医院治疗，造成手臂骨折，住院一个月，限工一个月。</t>
  </si>
  <si>
    <t>郑志田</t>
  </si>
  <si>
    <t>三号皮带东头北侧</t>
  </si>
  <si>
    <t>左眼失明在家休养一个月</t>
  </si>
  <si>
    <t>张广顺</t>
  </si>
  <si>
    <t>西硫铵西母液槽</t>
  </si>
  <si>
    <t>√ 维修处理盘根</t>
  </si>
  <si>
    <t>造成该操作工因当场触电身亡</t>
  </si>
  <si>
    <t>两盐操作室</t>
  </si>
  <si>
    <t>× 改造线缆开关，线路穿套管</t>
  </si>
  <si>
    <t>停止出焦4个小时</t>
  </si>
  <si>
    <t>√ 更换液压油
√ 过滤清洗油质</t>
  </si>
  <si>
    <t>液压油已更换</t>
  </si>
  <si>
    <t>抢救无效死亡</t>
  </si>
  <si>
    <t>马芝平</t>
  </si>
  <si>
    <t>煤场抓斗</t>
  </si>
  <si>
    <t>送医院抢救无效死亡</t>
  </si>
  <si>
    <t>× 维修轴销
× 教育职工注意提高防范意识</t>
  </si>
  <si>
    <t>一名巡检工左手手踝骨折，送医治疗三天，损工一月</t>
  </si>
  <si>
    <t>西硫铵配电室</t>
  </si>
  <si>
    <t>× 拆除配电箱</t>
  </si>
  <si>
    <t>√ 裸露线缆穿线管</t>
  </si>
  <si>
    <t>操作工面部擦伤后，及时去医务室处理清洗后复工</t>
  </si>
  <si>
    <t>北脱硫西侧</t>
  </si>
  <si>
    <t>√ 拆除或加固铝皮</t>
  </si>
  <si>
    <t>冷凝</t>
  </si>
  <si>
    <t>一人中毒，损工10天</t>
  </si>
  <si>
    <t>牟圆圆</t>
  </si>
  <si>
    <t>南澄清槽机头</t>
  </si>
  <si>
    <t>√ 防腐处理</t>
  </si>
  <si>
    <t>20-9-10</t>
  </si>
  <si>
    <t>设备停机，制氮无法输送，影响生产，经济损失两万元</t>
  </si>
  <si>
    <t>制氮机房屋顶</t>
  </si>
  <si>
    <t>√ 做防雨渗漏处理</t>
  </si>
  <si>
    <t>一名操作人员腿部擦伤，简单处理后正常上班无损工</t>
  </si>
  <si>
    <t>北供水配电室</t>
  </si>
  <si>
    <t>20-9-14</t>
  </si>
  <si>
    <t>一名操作工触电，浑身乏力，未造成大的伤害，休息后恢复正常</t>
  </si>
  <si>
    <t>20-11-3</t>
  </si>
  <si>
    <t>35吨一楼</t>
  </si>
  <si>
    <t>× 恢复配电箱护盖
× 教育职工注意提高防范意识</t>
  </si>
  <si>
    <t>人员左眼角膜坏死治疗三个后康复损工三个月</t>
  </si>
  <si>
    <t>刮皮磨损，影响生产，停车检修</t>
  </si>
  <si>
    <t>刘树杰</t>
  </si>
  <si>
    <t>20-10-7</t>
  </si>
  <si>
    <t>东一机头</t>
  </si>
  <si>
    <t>√ 停车后通知维修立即更换！</t>
  </si>
  <si>
    <t>35T锅炉二楼平台</t>
  </si>
  <si>
    <t>操作人员在合照明闸时，易发生触电事故，造成轻微伤害，未损工</t>
  </si>
  <si>
    <t>张冠群</t>
  </si>
  <si>
    <t>二楼平台</t>
  </si>
  <si>
    <t>× 恢复盖板
× 教育职工注意提高防范意识</t>
  </si>
  <si>
    <t>化水水池</t>
  </si>
  <si>
    <t>经处理后，未影响正常工作，未损工。</t>
  </si>
  <si>
    <t>除盐水池东头</t>
  </si>
  <si>
    <t>一名操作人员身体多处擦伤，去医务室简单包扎，未损工</t>
  </si>
  <si>
    <t>刘建平</t>
  </si>
  <si>
    <t>南风机初冷器南部</t>
  </si>
  <si>
    <t>√ 接地线贴地压实</t>
  </si>
  <si>
    <t>热力车间锅炉岗位</t>
  </si>
  <si>
    <t>水池无防护，造成人员伤害。</t>
  </si>
  <si>
    <t>田清州</t>
  </si>
  <si>
    <t>脱硫屋内</t>
  </si>
  <si>
    <t>硫铵三楼</t>
  </si>
  <si>
    <t>造成设备损坏及人员伤害</t>
  </si>
  <si>
    <t>张传宝</t>
  </si>
  <si>
    <t>离心机</t>
  </si>
  <si>
    <t>财产损失2万元</t>
  </si>
  <si>
    <t>粗苯泵房内</t>
  </si>
  <si>
    <t>√ 更换粗苯富油泵线路</t>
  </si>
  <si>
    <t>导烟车停用设备维护修理，导烟车配电室配电盘线路大修，价值三万</t>
  </si>
  <si>
    <t>损失三万元的风险等级是几级？</t>
  </si>
  <si>
    <t>煤四</t>
  </si>
  <si>
    <t>√ 做好防范措施！并组织人员清理！</t>
  </si>
  <si>
    <t>热力35t炉除尘器</t>
  </si>
  <si>
    <t>双腿骨折，住院治疗三个月</t>
  </si>
  <si>
    <t>35t除尘器</t>
  </si>
  <si>
    <t>列入公司报废拆除</t>
  </si>
  <si>
    <t>胶带接头断裂，经济损失2000元。</t>
  </si>
  <si>
    <t>高彦兵</t>
  </si>
  <si>
    <t>20-9-15</t>
  </si>
  <si>
    <t>西五岗位</t>
  </si>
  <si>
    <t>√ 尽快将损坏部位修补。</t>
  </si>
  <si>
    <t>热力车间循环水泵</t>
  </si>
  <si>
    <t>职工头部磕伤送医治疗3天后回家休养10天共损工13天</t>
  </si>
  <si>
    <t>刘家丰</t>
  </si>
  <si>
    <t>此处有另一处照明</t>
  </si>
  <si>
    <t>南区</t>
  </si>
  <si>
    <t>左小腿骨折，损工3个月</t>
  </si>
  <si>
    <t>于松江</t>
  </si>
  <si>
    <t>√ 添加照明设施或维修更换照明灯</t>
  </si>
  <si>
    <t>南风机岗位及配电室</t>
  </si>
  <si>
    <t>一人煤气中毒损工7天</t>
  </si>
  <si>
    <t>风机房内</t>
  </si>
  <si>
    <t>√ 更换下液管阀门垫子</t>
  </si>
  <si>
    <t>备煤煤线</t>
  </si>
  <si>
    <t>皮带划伤，停车检修</t>
  </si>
  <si>
    <t>赵可霞</t>
  </si>
  <si>
    <t>煤六</t>
  </si>
  <si>
    <t>√ 停车后，立即清理！</t>
  </si>
  <si>
    <t>划伤皮带</t>
  </si>
  <si>
    <t>王凤博</t>
  </si>
  <si>
    <t>西五</t>
  </si>
  <si>
    <t>√ 紧急停车，立即整改！</t>
  </si>
  <si>
    <t>高温高压蒸汽致使员工高温灼伤，后果不可想象</t>
  </si>
  <si>
    <t>陶明涛</t>
  </si>
  <si>
    <t>车子棚南邻疏水管线</t>
  </si>
  <si>
    <t>5.5米脱硫脱硝酸</t>
  </si>
  <si>
    <t>人员在攀爬时手未抓牢或者脚未踩稳跌落在地上肢一侧摔骨折</t>
  </si>
  <si>
    <t>韩瑞刚</t>
  </si>
  <si>
    <t>汽轮机底座上</t>
  </si>
  <si>
    <t>请准确描述</t>
  </si>
  <si>
    <t>如果发现不及时将会造成清水外溢影响环保</t>
  </si>
  <si>
    <t>付艳</t>
  </si>
  <si>
    <t>泵房</t>
  </si>
  <si>
    <t>5.5米焦炉扒运焦</t>
  </si>
  <si>
    <t>经检查右脚大姆指轻微骨折，治疗后休养15天，共损工15天</t>
  </si>
  <si>
    <t>晾焦台南侧扒焦器</t>
  </si>
  <si>
    <t>重新判定后果</t>
  </si>
  <si>
    <t>万一损坏电缆，后果严重，造成经济损失。</t>
  </si>
  <si>
    <t>李玉军</t>
  </si>
  <si>
    <t>锅炉炉顶</t>
  </si>
  <si>
    <t>× 恢复盖板
× 规范盖好盖板</t>
  </si>
  <si>
    <t>5.5米机侧除尘</t>
  </si>
  <si>
    <t>脚裸扭伤，就医修养7天</t>
  </si>
  <si>
    <t>张瑞顺</t>
  </si>
  <si>
    <t>除尘电机平台</t>
  </si>
  <si>
    <t>后果判定不合理，重新提报</t>
  </si>
  <si>
    <t>一人腿部擦伤，消毒处理后继续工作</t>
  </si>
  <si>
    <t>刘振国</t>
  </si>
  <si>
    <t>20-10-5</t>
  </si>
  <si>
    <t>西四</t>
  </si>
  <si>
    <t>√ 联系维修更换盖板</t>
  </si>
  <si>
    <t>住院治疗，损工2个月</t>
  </si>
  <si>
    <t>张建华</t>
  </si>
  <si>
    <t>汽轮机厂房一层</t>
  </si>
  <si>
    <t>一名操作人员腿部擦伤，简单处理后继续工作，无损工。</t>
  </si>
  <si>
    <t>南脱硫西溶液槽处</t>
  </si>
  <si>
    <t>√ 接地线贴地固定</t>
  </si>
  <si>
    <t>司机撞伤头部，损工7天</t>
  </si>
  <si>
    <t>刘洪明</t>
  </si>
  <si>
    <t>在2#煤场</t>
  </si>
  <si>
    <t>有效的沟通</t>
  </si>
  <si>
    <t>√ 教育并要求规范劳保穿戴，戴好安全帽</t>
  </si>
  <si>
    <t>一人手掌擦伤，消毒处理后继续工作</t>
  </si>
  <si>
    <t>冯成刚</t>
  </si>
  <si>
    <t>3#煤场</t>
  </si>
  <si>
    <t>√ 联系维修割除</t>
  </si>
  <si>
    <t>20-9-9</t>
  </si>
  <si>
    <t>北风机拆除现场</t>
  </si>
  <si>
    <t>回火爆炸，一人死亡</t>
  </si>
  <si>
    <t>√ 更换压力表和附件</t>
  </si>
  <si>
    <t>左小腿骨折损工106天</t>
  </si>
  <si>
    <t>赵洪伟</t>
  </si>
  <si>
    <t>20-10-6</t>
  </si>
  <si>
    <t>2#站</t>
  </si>
  <si>
    <t>20-9-12</t>
  </si>
  <si>
    <t>20-9-6</t>
  </si>
  <si>
    <t>一员工脚腕扭伤，损工七天</t>
  </si>
  <si>
    <t>初冷器南路边下水道</t>
  </si>
  <si>
    <t>在家休养七天，损工七天</t>
  </si>
  <si>
    <t>于健</t>
  </si>
  <si>
    <t>摔伤及扭伤</t>
  </si>
  <si>
    <t>胡汉东</t>
  </si>
  <si>
    <t>三十五锅炉东门</t>
  </si>
  <si>
    <t>核查无</t>
  </si>
  <si>
    <t>上升管冒大烟造成环保事故，经济损失10万元。</t>
  </si>
  <si>
    <t>炉顶南侧煤气管架处</t>
  </si>
  <si>
    <t>√ 恢复保温
√ 保证阀门保温良好</t>
  </si>
  <si>
    <t>20-10-2</t>
  </si>
  <si>
    <t>上报了保温部位，外协人员立刻进行了保温处理，其他需保温部位也全部上报车间，近期将全部包好，迎接冬季生产。</t>
  </si>
  <si>
    <t>一人右手手腕骨折 损工122天</t>
  </si>
  <si>
    <t>郭焕雷</t>
  </si>
  <si>
    <t>20-10-15</t>
  </si>
  <si>
    <t>煤五</t>
  </si>
  <si>
    <t>√ 加强巡查
√ 尽快修复</t>
  </si>
  <si>
    <t>一人右脚脚踝扭伤休息一会不影响工作</t>
  </si>
  <si>
    <t>刘延安</t>
  </si>
  <si>
    <t>√ 尽快修复
√ 加强巡查</t>
  </si>
  <si>
    <t>一人右前臂骨折损工122天</t>
  </si>
  <si>
    <t>刘军伟</t>
  </si>
  <si>
    <t>东一</t>
  </si>
  <si>
    <t>√ 尽快处理
√ 加强巡查</t>
  </si>
  <si>
    <t>料斗损坏 影响生产</t>
  </si>
  <si>
    <t>√ 加强巡查</t>
  </si>
  <si>
    <t>刘根元</t>
  </si>
  <si>
    <t>东二</t>
  </si>
  <si>
    <t>右小腿划伤 损工37天</t>
  </si>
  <si>
    <t>刘江</t>
  </si>
  <si>
    <t>√ 尽快焊补
√ 加强巡查</t>
  </si>
  <si>
    <t>环保事故公司通报</t>
  </si>
  <si>
    <t>焦侧开闭器</t>
  </si>
  <si>
    <t>√ 及时注油润滑
√ 保持润滑效果</t>
  </si>
  <si>
    <t>常调工进行了除锈注油润滑</t>
  </si>
  <si>
    <t>雨后电机漏雨，无护罩手部电击伤。</t>
  </si>
  <si>
    <t>李传宝</t>
  </si>
  <si>
    <t>预除理水解池</t>
  </si>
  <si>
    <t>√ 添加防雨罩</t>
  </si>
  <si>
    <t>胶带断裂，非正常停车检修，经济损失2000元。</t>
  </si>
  <si>
    <t>郭才喜</t>
  </si>
  <si>
    <t>北脱硫岗位及配电室</t>
  </si>
  <si>
    <t>储槽现场废水氨氮超标，车间内部通报批评。</t>
  </si>
  <si>
    <t>氨水储槽进料管</t>
  </si>
  <si>
    <t>√ 处理漏点</t>
  </si>
  <si>
    <t>人员坠落小腿骨折住院15天，在家休息三个月</t>
  </si>
  <si>
    <t>20-10-19</t>
  </si>
  <si>
    <t>在线检测小屋前</t>
  </si>
  <si>
    <t>描述不具体</t>
  </si>
  <si>
    <t>√ 将阀门移到便于操作位置
× 增设爬梯平台</t>
  </si>
  <si>
    <t>为了操作方便维修人员把操作阀门移到了烟道处，可以在地面方便操作。</t>
  </si>
  <si>
    <t>一人肩部骨折事故，损工一年。</t>
  </si>
  <si>
    <t>孙启英</t>
  </si>
  <si>
    <t>20-10-8</t>
  </si>
  <si>
    <t>熄焦塔</t>
  </si>
  <si>
    <t>× 加装警示标志，严禁人员随意进入
√ 增设防护网</t>
  </si>
  <si>
    <t>将顶部危险的砖头拆掉，防止继续掉落，并把熄焦车开入熄焦塔内阻挡容易掉落砖头的部位，防止人员被砸伤</t>
  </si>
  <si>
    <t>检查发现左手食指中指前二指节骨裂，住院治疗三天，休养90天</t>
  </si>
  <si>
    <t>严重程度判定不准确，今后注意</t>
  </si>
  <si>
    <t>√ 恢复护罩
√ 维修整改</t>
  </si>
  <si>
    <t>住院三天，休养90天，共损工93天</t>
  </si>
  <si>
    <t>一名操作工鼻梁骨骨折，损工3个月</t>
  </si>
  <si>
    <t>贫油冷却器处</t>
  </si>
  <si>
    <t>√ 清除废旧阀门</t>
  </si>
  <si>
    <t>造成一人死亡</t>
  </si>
  <si>
    <t>√ 更换开关
√ 加防雨罩</t>
  </si>
  <si>
    <t>人员脸部轻微划伤</t>
  </si>
  <si>
    <t>刘良永</t>
  </si>
  <si>
    <t>硫铵库房东管架</t>
  </si>
  <si>
    <t>√ 拆除脱落铝皮</t>
  </si>
  <si>
    <t>皮带划伤财产损失</t>
  </si>
  <si>
    <t>赵兴辉</t>
  </si>
  <si>
    <t>备煤西三</t>
  </si>
  <si>
    <t>√ 立即整改，并责令岗位人员严格按工具定制摆放！</t>
  </si>
  <si>
    <t>输煤1号带</t>
  </si>
  <si>
    <t>一名操作工巡检至此，肩膀误碰配电盒，所幸没造成伤害</t>
  </si>
  <si>
    <t>张禄</t>
  </si>
  <si>
    <t>输煤1号皮带楼梯处</t>
  </si>
  <si>
    <t>× 加防护罩
× 加强日常巡查</t>
  </si>
  <si>
    <t>电源跳闸、手部触电，短暂休息继续工作，无损工。</t>
  </si>
  <si>
    <t>徐洪涛</t>
  </si>
  <si>
    <t>西硫酸皮带机电源插座</t>
  </si>
  <si>
    <t>√ 更换线缆盒和接头</t>
  </si>
  <si>
    <t>一职工头部擦伤。</t>
  </si>
  <si>
    <t>牟博勋</t>
  </si>
  <si>
    <t>√ 在低矮处设立警示牌</t>
  </si>
  <si>
    <t>皮带损伤，损失1000元。</t>
  </si>
  <si>
    <t>刘徐州</t>
  </si>
  <si>
    <t>东四</t>
  </si>
  <si>
    <t>√ 将螺栓紧固，加强巡查。</t>
  </si>
  <si>
    <t>轻微划伤</t>
  </si>
  <si>
    <t>2#初冷器中层护栏</t>
  </si>
  <si>
    <t>手背划伤</t>
  </si>
  <si>
    <t>待核查</t>
  </si>
  <si>
    <t>刘钦亮</t>
  </si>
  <si>
    <t>应急器材压力低，得不到救护造成人员伤亡</t>
  </si>
  <si>
    <t>专项检查</t>
  </si>
  <si>
    <t>刘善华</t>
  </si>
  <si>
    <t>南风机，操作室</t>
  </si>
  <si>
    <t>√ 立即充装，达到充足压力</t>
  </si>
  <si>
    <t>左脚轻微擦伤</t>
  </si>
  <si>
    <t>牟增书</t>
  </si>
  <si>
    <t>√ 做好防护！并立即组织人员更换！</t>
  </si>
  <si>
    <t>高空坠落造成右臂骨折</t>
  </si>
  <si>
    <t>杨光伟</t>
  </si>
  <si>
    <t>操作室西南角</t>
  </si>
  <si>
    <t>√ 拆除松动水泥块</t>
  </si>
  <si>
    <t>化产车间，北班长室</t>
  </si>
  <si>
    <t>左脚脚踝扭伤，在家休养7天</t>
  </si>
  <si>
    <t>北班长室西侧排水沟</t>
  </si>
  <si>
    <t>胶带划伤</t>
  </si>
  <si>
    <t>秦小荣</t>
  </si>
  <si>
    <t>隐患描述不完整。</t>
  </si>
  <si>
    <t>√ 立即更换托辊。</t>
  </si>
  <si>
    <t>孙希昱</t>
  </si>
  <si>
    <t>5.5米焦炉炉顶南端</t>
  </si>
  <si>
    <t>√ 规范接线
√ 及时检查消除隐患</t>
  </si>
  <si>
    <t>一名巡检工划伤脸部，送医治疗，损工3天。</t>
  </si>
  <si>
    <t>齐立臣</t>
  </si>
  <si>
    <t>焦侧通廊</t>
  </si>
  <si>
    <t>× 固定玻璃钢瓦
√ 加强巡检巡查</t>
  </si>
  <si>
    <t>玻璃钢瓦已拆除</t>
  </si>
  <si>
    <t>1人高坠，多处脏器损伤，抢救无效死亡</t>
  </si>
  <si>
    <t>20-9-13</t>
  </si>
  <si>
    <t>炉顶区护栏</t>
  </si>
  <si>
    <t>√ 检查确认护栏牢固可靠性，如有缺陷及时联系维修加固。
√ 在护栏醒目位置悬挂增设“禁止倚靠”等警示标语牌。</t>
  </si>
  <si>
    <t>维修人员已对护栏进行加固，警示牌已挂上</t>
  </si>
  <si>
    <t>1人颅骨骨折，抢救无效死亡</t>
  </si>
  <si>
    <t>顶部风向标</t>
  </si>
  <si>
    <t>√ 检查底部承插位置牢固性，若有缺陷及时联系维修加固。
√ 将钢管中间位置同护栏进行连接绑定加固，保证牢靠度。</t>
  </si>
  <si>
    <t>上部用铁条固定，下部用螺栓穿过铁管固定</t>
  </si>
  <si>
    <t>热力车间脱硫岗位</t>
  </si>
  <si>
    <t>住院治疗，损工一个月</t>
  </si>
  <si>
    <t>田志友</t>
  </si>
  <si>
    <t>脱硫二楼振动筛面北侧</t>
  </si>
  <si>
    <t>× 重新制作爬梯护栏
× 教育职工注意提高防范意识</t>
  </si>
  <si>
    <t>深度处理系统装置停车6小时</t>
  </si>
  <si>
    <t>深度处理配电柜</t>
  </si>
  <si>
    <t>√ 更换继电器</t>
  </si>
  <si>
    <t>污水处理1站生化工段</t>
  </si>
  <si>
    <t>流量计烧毁，造成经济损失0.45万元的设备损坏事故。</t>
  </si>
  <si>
    <t>王晓丽</t>
  </si>
  <si>
    <t>生化缺氧池</t>
  </si>
  <si>
    <t>√ 维修流量计</t>
  </si>
  <si>
    <t>行灯线绝缘层破损</t>
  </si>
  <si>
    <t>王忠亮</t>
  </si>
  <si>
    <t>√ 将行灯线盘起挂在墙上</t>
  </si>
  <si>
    <t>5.5米焦炉熄焦</t>
  </si>
  <si>
    <t>一名工人手腕骨折，住院治疗15天，在家修养60天</t>
  </si>
  <si>
    <t>熄焦导轨南头</t>
  </si>
  <si>
    <t>√ 将翘起管道固定到地面
√ 人员通行注意管道翘起</t>
  </si>
  <si>
    <t>√ 立即重新安装炉门
√ 保证横栓到位</t>
  </si>
  <si>
    <t>5.5米焦炉拦焦岗位</t>
  </si>
  <si>
    <t>造成1人住院、休养共计损工4个月</t>
  </si>
  <si>
    <t>刘树成</t>
  </si>
  <si>
    <t>焦炉拦焦平台</t>
  </si>
  <si>
    <t>√ 用铁板覆盖
√ 及时封堵</t>
  </si>
  <si>
    <t>一人右肩部骨裂损工96天</t>
  </si>
  <si>
    <t>1#初冷器平台</t>
  </si>
  <si>
    <t>√ 将废旧铁管拆除</t>
  </si>
  <si>
    <t>孔祥乾</t>
  </si>
  <si>
    <t>筛焦楼西侧除尘箱体</t>
  </si>
  <si>
    <t>煤厂天车</t>
  </si>
  <si>
    <t>巡查人员在巡检，思想意识薄弱，造成脚部扭伤，损工一星期。</t>
  </si>
  <si>
    <t>造成手臂骨折，住院治疗损工71天。</t>
  </si>
  <si>
    <t>熄焦塔北面</t>
  </si>
  <si>
    <t>√ 割除底座
√ 整平地面</t>
  </si>
  <si>
    <t>右前臂骨裂，住院治疗一周。</t>
  </si>
  <si>
    <t>刘欢</t>
  </si>
  <si>
    <t>老化学水盘式过滤器处</t>
  </si>
  <si>
    <t>容易造成摔伤，碰伤</t>
  </si>
  <si>
    <t>范波</t>
  </si>
  <si>
    <t>西五爬梯</t>
  </si>
  <si>
    <t>√ 更换灯泡
√ 上下楼梯，手扶护栏，注意安全</t>
  </si>
  <si>
    <t>20-9-11</t>
  </si>
  <si>
    <t>一职工小腿轻微伤，无损工。</t>
  </si>
  <si>
    <t>牟小花</t>
  </si>
  <si>
    <t>煤棚西侧</t>
  </si>
  <si>
    <t>√ 尽快将缺失部位盖板进行加装。</t>
  </si>
  <si>
    <t>一人烫伤右手臂，正常上班！</t>
  </si>
  <si>
    <t>母液加温器</t>
  </si>
  <si>
    <t>√ 作业前进行风险告知，佩戴好防护用品</t>
  </si>
  <si>
    <t>腿部骨折，住院3月</t>
  </si>
  <si>
    <t>75T锅炉2楼平台</t>
  </si>
  <si>
    <t>张胜文</t>
  </si>
  <si>
    <t>20-10-10</t>
  </si>
  <si>
    <t>√ 立即整改，并严格按规定使用工具，并按规定摆放工具</t>
  </si>
  <si>
    <t>人员掉入水池造成人员伤害</t>
  </si>
  <si>
    <t>于观成</t>
  </si>
  <si>
    <t>7#煤气水封</t>
  </si>
  <si>
    <t>√ 立即整改，并严格按规定使用，避免发生人员伤害！</t>
  </si>
  <si>
    <t>造成手部受伤，送医院治疗，缝了十针，住院治疗三天，限工三天</t>
  </si>
  <si>
    <t>赵坤</t>
  </si>
  <si>
    <t>循环水泵西侧</t>
  </si>
  <si>
    <t>掉落时砸伤员工，造成人员伤害</t>
  </si>
  <si>
    <t>崔健</t>
  </si>
  <si>
    <t>√ 立即清理杂物，以防发生人员伤害！</t>
  </si>
  <si>
    <t>旧化水，</t>
  </si>
  <si>
    <t>巡检工在巡检蒸汽管线时，安全意识不强，选成扭伤，损工一月。</t>
  </si>
  <si>
    <t>田怀成</t>
  </si>
  <si>
    <t>操作工头部磕伤，无损工</t>
  </si>
  <si>
    <t>刘庆平</t>
  </si>
  <si>
    <t>东四岗位</t>
  </si>
  <si>
    <t>√ 将吊装门关闭。</t>
  </si>
  <si>
    <t>101配电室</t>
  </si>
  <si>
    <t>脚部轻微擦伤，休息片刻后继续工作。</t>
  </si>
  <si>
    <t>101配电室南侧盖板</t>
  </si>
  <si>
    <t>√ 更换破损的地沟盖板</t>
  </si>
  <si>
    <t>20-9-20</t>
  </si>
  <si>
    <t>脚部受伤  未损工</t>
  </si>
  <si>
    <t>餐厅</t>
  </si>
  <si>
    <t>√ 维修修理</t>
  </si>
  <si>
    <t>人员经过时，一旦脱落造成砸伤</t>
  </si>
  <si>
    <t>刘丽霞</t>
  </si>
  <si>
    <t>√ 清理脱落的包边
√ 人员经过注意高空落物</t>
  </si>
  <si>
    <t>手掌擦伤，轻微伤。</t>
  </si>
  <si>
    <t>杨春鹏</t>
  </si>
  <si>
    <t>20-9-16</t>
  </si>
  <si>
    <t>洗车机东侧</t>
  </si>
  <si>
    <t>√ 维修固定脱落的套管
√ 人员经过注意安全</t>
  </si>
  <si>
    <t>硫铵二楼</t>
  </si>
  <si>
    <t>住院治疗，休班七天！</t>
  </si>
  <si>
    <t>热力车间硫铵二楼</t>
  </si>
  <si>
    <t>住院3天在家休养4天造成一人损工事件</t>
  </si>
  <si>
    <t>√ 为保证产品质量安全及时更换法兰垫子</t>
  </si>
  <si>
    <t>更换取出管法兰垫子恢复安全生产</t>
  </si>
  <si>
    <t>肩部软组织损伤，住院治疗7天，回家休养15天，损工22天</t>
  </si>
  <si>
    <t>李振英</t>
  </si>
  <si>
    <t>蒸氨塔南管架</t>
  </si>
  <si>
    <t>√ 清除框架盖板</t>
  </si>
  <si>
    <t>操作工被溶液溅入右眼睛</t>
  </si>
  <si>
    <t>张建民</t>
  </si>
  <si>
    <t>北脱硫2号溶液缓冲泵</t>
  </si>
  <si>
    <t>√ 补起螺栓</t>
  </si>
  <si>
    <t>钎子掉落，人员伤害</t>
  </si>
  <si>
    <t>西五下料筒</t>
  </si>
  <si>
    <t>√ 立即整改！并严格按工具定置摆放！</t>
  </si>
  <si>
    <t>铁管坠落，砸中人员左手大母指骨折，损工30天。</t>
  </si>
  <si>
    <t>党传清</t>
  </si>
  <si>
    <t>南冷凝循环罐剩余罐之</t>
  </si>
  <si>
    <t>人员坠落造成人身伤害</t>
  </si>
  <si>
    <t>宋涛</t>
  </si>
  <si>
    <t>1618破碎机下料筒</t>
  </si>
  <si>
    <t>√ 做好防护，并联系维修进行整改！</t>
  </si>
  <si>
    <t>造成右手受伤肿大，就医后休息七天复工</t>
  </si>
  <si>
    <t>潘曰山</t>
  </si>
  <si>
    <t>西硫铵捕酸器平台</t>
  </si>
  <si>
    <t>√ 清除平台杂物</t>
  </si>
  <si>
    <t>住院治疗损工一个月</t>
  </si>
  <si>
    <t>高士国</t>
  </si>
  <si>
    <t>75T锅炉DCS热控</t>
  </si>
  <si>
    <t>重复</t>
  </si>
  <si>
    <t>手心割伤到医务室检查，消毒简单包扎后继续上班，无损工</t>
  </si>
  <si>
    <t>脱硫塔北</t>
  </si>
  <si>
    <t>√ 更换阀门手柄</t>
  </si>
  <si>
    <t>操作工触电，送医院抢救无效死亡。</t>
  </si>
  <si>
    <t>水封槽北侧</t>
  </si>
  <si>
    <t>× 更换腐蚀断裂的线缆穿线管</t>
  </si>
  <si>
    <t>南循环水岗位及配电室</t>
  </si>
  <si>
    <t>右腿摔伤，无损工。</t>
  </si>
  <si>
    <t>操作室北路口</t>
  </si>
  <si>
    <t>√ 复位地沟盖板</t>
  </si>
  <si>
    <t>王晓伟</t>
  </si>
  <si>
    <t>西二</t>
  </si>
  <si>
    <t>重复项，终止此条</t>
  </si>
  <si>
    <t>√ 更换托辊
√ 发现托辊损坏及时更换</t>
  </si>
  <si>
    <t>马丛芳</t>
  </si>
  <si>
    <t>煤八</t>
  </si>
  <si>
    <t>√ 恢复盖板
√ 人员经过时注意脚下安全</t>
  </si>
  <si>
    <t>新化学水工段</t>
  </si>
  <si>
    <t>眼睛灼伤，入院治疗5天，在家休息5天，损工10天。</t>
  </si>
  <si>
    <t>姜宁</t>
  </si>
  <si>
    <t>化水车间</t>
  </si>
  <si>
    <t>× 紧固法兰
× 教育职工注意提高防范意识</t>
  </si>
  <si>
    <t>一套系统停工</t>
  </si>
  <si>
    <t>秦继永</t>
  </si>
  <si>
    <t>西一</t>
  </si>
  <si>
    <t>√ 维修焊补开焊护栏
√ 巡检时注意设备状况，发现问题及时整改</t>
  </si>
  <si>
    <t>王来忠</t>
  </si>
  <si>
    <t>√ 做好防护，立即通知电工整改！</t>
  </si>
  <si>
    <t>化产车间东冷凝</t>
  </si>
  <si>
    <t>外施工人员被管道擦伤脸部流血，及时去医务室清理包扎，后复工</t>
  </si>
  <si>
    <t>澄清槽拆除</t>
  </si>
  <si>
    <t>√ 立即拆除悬挂的管道</t>
  </si>
  <si>
    <t>一名操作工手触碰照明开关触电，脱离危险。</t>
  </si>
  <si>
    <t>北循环水岗位二楼操作</t>
  </si>
  <si>
    <t>√ 更换防护罩</t>
  </si>
  <si>
    <t>造成皮带损伤，非计划停车！</t>
  </si>
  <si>
    <t>郝效蓉</t>
  </si>
  <si>
    <t>√ 停车清理杂物
√ 清理时注意转动设备不能清理</t>
  </si>
  <si>
    <t>维修工右眼被氨水灼伤，损工7天</t>
  </si>
  <si>
    <t>付斌</t>
  </si>
  <si>
    <t>北脱硫蒸氨氨水管道</t>
  </si>
  <si>
    <t>× 停止作业后，佩戴好护目镜等安全防护用品</t>
  </si>
  <si>
    <t>线路短路，损坏电器。</t>
  </si>
  <si>
    <t>路世杰</t>
  </si>
  <si>
    <t>西三行灯头滑出</t>
  </si>
  <si>
    <t>√ 电工固定灯头
√ 使用时注意电器设施是否安全可靠</t>
  </si>
  <si>
    <t>赵红</t>
  </si>
  <si>
    <t>√ 清理脱落的油漆
√ 随时清理环境卫生，达到清洁要求</t>
  </si>
  <si>
    <t>造成皮带划伤</t>
  </si>
  <si>
    <t>西四岗位</t>
  </si>
  <si>
    <t>√ 更换托辊
√ 巡检时发现问题及时处理</t>
  </si>
  <si>
    <t>一名操作人员被砸中肩部，不影响工作。</t>
  </si>
  <si>
    <t>李明伟</t>
  </si>
  <si>
    <t>3#站西南角电缆桥架</t>
  </si>
  <si>
    <t>√ 重新固定盖板</t>
  </si>
  <si>
    <t>热力车间输煤3号皮带</t>
  </si>
  <si>
    <t>住院治疗一个月的损工事故。</t>
  </si>
  <si>
    <t>刘宝安</t>
  </si>
  <si>
    <t>输煤3号皮带机</t>
  </si>
  <si>
    <t>有活动护栏</t>
  </si>
  <si>
    <t>腿部划伤，损工一周。</t>
  </si>
  <si>
    <t>20-10-30</t>
  </si>
  <si>
    <t>两母液槽联通过桥</t>
  </si>
  <si>
    <t>× 更换平台铁板踏板</t>
  </si>
  <si>
    <t>在家休息一天，损工一天</t>
  </si>
  <si>
    <t>粗苯西南角</t>
  </si>
  <si>
    <t>× 焊接开焊的护笼</t>
  </si>
  <si>
    <t>巡检人员被盖板绊倒，左腿膝盖轻微擦伤</t>
  </si>
  <si>
    <t>20-9-29</t>
  </si>
  <si>
    <t>风机房一楼</t>
  </si>
  <si>
    <t>√ 覆盖清理杂物</t>
  </si>
  <si>
    <t>手指轻微划伤</t>
  </si>
  <si>
    <t>赵伟</t>
  </si>
  <si>
    <t>√ 立即复位。</t>
  </si>
  <si>
    <t>韩雪</t>
  </si>
  <si>
    <t>√ 加强巡检，发现除铁器杂物过多应及时清理。</t>
  </si>
  <si>
    <t>感到麻痹感及时脱离未造成损伤</t>
  </si>
  <si>
    <t>低位槽北</t>
  </si>
  <si>
    <t>√ 清理地面积水，线缆接头防水处理</t>
  </si>
  <si>
    <t>5.5米脱硫脱硝</t>
  </si>
  <si>
    <t>手臂骨折，损工六个月</t>
  </si>
  <si>
    <t>刘旺</t>
  </si>
  <si>
    <t>软水箱东侧场地</t>
  </si>
  <si>
    <t>√ 割除螺丝柱
√ 保障通行道路平整</t>
  </si>
  <si>
    <t>化产</t>
  </si>
  <si>
    <t>脚腕脱臼，损工一个月</t>
  </si>
  <si>
    <t>南化产路口</t>
  </si>
  <si>
    <t>√ 及时复位水沟盖版</t>
  </si>
  <si>
    <t>拦焦道轨</t>
  </si>
  <si>
    <t>√ 人员清扫道轨卫生时按照高处作业进行管理
√ 专人监护</t>
  </si>
  <si>
    <t>手臂骨折，损工三个月</t>
  </si>
  <si>
    <t>焦四带</t>
  </si>
  <si>
    <t>√ 清理废料
√ 人员绕行</t>
  </si>
  <si>
    <t>肩膀脱臼，损工一个月</t>
  </si>
  <si>
    <t>脱硝塔底部</t>
  </si>
  <si>
    <t>√ 联系维修固定彩钢瓦
√ 及时清理掉落彩钢瓦</t>
  </si>
  <si>
    <t>20-9-17</t>
  </si>
  <si>
    <t>√ 停车立即更换，以防出现事故！</t>
  </si>
  <si>
    <t>右手手腕轻微骨折，损工一个月</t>
  </si>
  <si>
    <t>旋转密封阀</t>
  </si>
  <si>
    <t>皮带划伤，损失一千元。</t>
  </si>
  <si>
    <t>代向明</t>
  </si>
  <si>
    <t>煤七</t>
  </si>
  <si>
    <t>√ 及时清理除铁器杂物，确保胶带运行正常。</t>
  </si>
  <si>
    <t>入院手术，损工一月</t>
  </si>
  <si>
    <t>推焦车除尘</t>
  </si>
  <si>
    <t>√ 及时恢复
√ 维修整改</t>
  </si>
  <si>
    <t>框架管道上木板坠落造成操作工右肩膀砸伤在家休息两天后正常上班</t>
  </si>
  <si>
    <t>杨兰</t>
  </si>
  <si>
    <t>mvR北侧框架</t>
  </si>
  <si>
    <t>√ 清除管架上部木板</t>
  </si>
  <si>
    <t>水封无警示标识牌造成操作工左脚脚腕崴伤损工14天</t>
  </si>
  <si>
    <t>焦油发货室西侧</t>
  </si>
  <si>
    <t>人员碰伤</t>
  </si>
  <si>
    <t>滕建雷</t>
  </si>
  <si>
    <t>√ 立即关闭，以防人员经过时碰伤！</t>
  </si>
  <si>
    <t>右前臂骨折，损工三个月</t>
  </si>
  <si>
    <t>处理链条处防护，防止机械伤害</t>
  </si>
  <si>
    <t>√ 链条加装护罩，加强处理链条处防护</t>
  </si>
  <si>
    <t>手掌轻微擦伤</t>
  </si>
  <si>
    <t>提升机</t>
  </si>
  <si>
    <t>巡检认真细致安全意识强</t>
  </si>
  <si>
    <t>维修割除</t>
  </si>
  <si>
    <t>一名巡检工，左腿轻微划伤，包扎处理，无损工！</t>
  </si>
  <si>
    <t>西硫铵东管廊</t>
  </si>
  <si>
    <t>√ 拆除或加固保温铝皮</t>
  </si>
  <si>
    <t>非正常停车20分钟</t>
  </si>
  <si>
    <t>于凤江</t>
  </si>
  <si>
    <t>1人损工75天</t>
  </si>
  <si>
    <t>刘建萍</t>
  </si>
  <si>
    <t>√ 加固焊接支架</t>
  </si>
  <si>
    <t>一人颈部皮肤划伤</t>
  </si>
  <si>
    <t>刘帅英</t>
  </si>
  <si>
    <t>北循环水操作室</t>
  </si>
  <si>
    <t>√ 加固点灯</t>
  </si>
  <si>
    <t>电机烧毁，损失5000元</t>
  </si>
  <si>
    <t>刘素香</t>
  </si>
  <si>
    <t>凉水塔</t>
  </si>
  <si>
    <t>√ 覆盖线缆盖板</t>
  </si>
  <si>
    <t>扭伤</t>
  </si>
  <si>
    <t>左恒坤</t>
  </si>
  <si>
    <t>东四南侧</t>
  </si>
  <si>
    <t>√ 现场清理干净
√ 现场维修使用完毕后，要保持现场清洁</t>
  </si>
  <si>
    <t>电灼伤</t>
  </si>
  <si>
    <t>于海霞</t>
  </si>
  <si>
    <t>√ 电工重新包扎线头
√ 人员使用时注意安全</t>
  </si>
  <si>
    <t>李述芳</t>
  </si>
  <si>
    <t>√ 操作人员更换缺失托辊
√ 皮带机运转时禁止任何操作，停车处理</t>
  </si>
  <si>
    <t>拖把掉落，人员伤害</t>
  </si>
  <si>
    <t>杨玉明</t>
  </si>
  <si>
    <t>煤九</t>
  </si>
  <si>
    <t>√ 立即清走！严谨在高空平台放置物品</t>
  </si>
  <si>
    <t>左脚脚踝扭伤，左小臂擦伤，送医务室治疗。损工15天。</t>
  </si>
  <si>
    <t>加护栏加强防护</t>
  </si>
  <si>
    <t>× 按规范安装护栏，加强防护，防止人员失足扭伤</t>
  </si>
  <si>
    <t>机封磨损，设备损坏。</t>
  </si>
  <si>
    <t>刘云霞</t>
  </si>
  <si>
    <t>南脱硫缓冲槽</t>
  </si>
  <si>
    <t>√ 更换压力表</t>
  </si>
  <si>
    <t>有火灾不能及时使用灭火器，造成财产损失。</t>
  </si>
  <si>
    <t>杨小军</t>
  </si>
  <si>
    <t>破碎机除尘平面</t>
  </si>
  <si>
    <t>√ 立即清除。</t>
  </si>
  <si>
    <t>损坏眼球</t>
  </si>
  <si>
    <t>张伟波</t>
  </si>
  <si>
    <t>四楼结晶槽</t>
  </si>
  <si>
    <t>√ 焊补漏点</t>
  </si>
  <si>
    <t>汽轮机七米</t>
  </si>
  <si>
    <t>右脚踝扭伤，损工一个月。</t>
  </si>
  <si>
    <t>汽轮机七米爬梯</t>
  </si>
  <si>
    <t>加装安全警示牌，提高人员上下爬梯时安全意识</t>
  </si>
  <si>
    <t>× 加装安全警示牌，提高人员上下爬梯时安全意识</t>
  </si>
  <si>
    <t>挡煤板被撑开原料煤涌入带中，非计划停车</t>
  </si>
  <si>
    <t>吴莉莉</t>
  </si>
  <si>
    <t>√ 维修焊补支撑架</t>
  </si>
  <si>
    <t>胶带带边划伤</t>
  </si>
  <si>
    <t>王国霞</t>
  </si>
  <si>
    <t>√ 联系维修更换刮板</t>
  </si>
  <si>
    <t>煤尘飞扬污染环境</t>
  </si>
  <si>
    <t>陈兴友</t>
  </si>
  <si>
    <t>区域不对</t>
  </si>
  <si>
    <t>煤尘飞扬环境污染</t>
  </si>
  <si>
    <t>√ 联系维修更换刮皮</t>
  </si>
  <si>
    <t>汽轮机汽封加热器</t>
  </si>
  <si>
    <t>一名操作工烫伤小臂，住院一周。</t>
  </si>
  <si>
    <t>张兴才</t>
  </si>
  <si>
    <t>35t锅炉</t>
  </si>
  <si>
    <t>住院治疗10天，在家休养15天，痊愈。损工25天。</t>
  </si>
  <si>
    <t>刘建卫</t>
  </si>
  <si>
    <t>35t锅炉二楼东墙</t>
  </si>
  <si>
    <t>照明效果可</t>
  </si>
  <si>
    <t>引起着火</t>
  </si>
  <si>
    <t>煤十</t>
  </si>
  <si>
    <t>√ 电工包扎好破损部分
√ 人员使用时注意用电安全</t>
  </si>
  <si>
    <t>手背烫伤，损工一天</t>
  </si>
  <si>
    <t>魏晓贞</t>
  </si>
  <si>
    <t>热力车间西北角</t>
  </si>
  <si>
    <t>已当场整改</t>
  </si>
  <si>
    <t>右脚脚踝扭伤休息一会不影响工作</t>
  </si>
  <si>
    <t>李洋洋</t>
  </si>
  <si>
    <t>西煤厂</t>
  </si>
  <si>
    <t>一人右前臂骨折 损工122天</t>
  </si>
  <si>
    <t>一人扭伤右脚脚踝 休息一会不影响工作</t>
  </si>
  <si>
    <t>钱发林</t>
  </si>
  <si>
    <t>√ 尽快修复</t>
  </si>
  <si>
    <t>张宏涛</t>
  </si>
  <si>
    <t>东三楼道</t>
  </si>
  <si>
    <t>刘春建</t>
  </si>
  <si>
    <t>1618破碎机加湿罐</t>
  </si>
  <si>
    <t>√ 维修加固焊补护栏
√ 人员查看时注意护栏，不要靠近</t>
  </si>
  <si>
    <t>右腿小腿骨折，损工75天。</t>
  </si>
  <si>
    <t>√ 维修用完后及时复位
√ 人员在周围时注意防护，防止人员跌落</t>
  </si>
  <si>
    <t>脚踝扭伤，损工10天。</t>
  </si>
  <si>
    <t>√ 加固开焊护栏</t>
  </si>
  <si>
    <t>一名操作人员头部受伤损工一周。</t>
  </si>
  <si>
    <t>热力车间汽轮机房内</t>
  </si>
  <si>
    <t>当场已整改</t>
  </si>
  <si>
    <t>焦油氨水外溢</t>
  </si>
  <si>
    <t>√ 维修更换</t>
  </si>
  <si>
    <t>导入装置烧毁，干熄炉停运，损失20万元</t>
  </si>
  <si>
    <t>巡查细致安全意识强</t>
  </si>
  <si>
    <t>√ 重新加铅封</t>
  </si>
  <si>
    <t>加装铅封，并对压力进行经常性检查，确认72小时未有压力下降情况，确认仅为铅封塑料老化缺失未造成实质性损坏。</t>
  </si>
  <si>
    <t>造成该名天车操作工当场死亡事故。</t>
  </si>
  <si>
    <t>马海东</t>
  </si>
  <si>
    <t>热力车间煤厂天车</t>
  </si>
  <si>
    <t>已核查落实</t>
  </si>
  <si>
    <t>线路短路引燃杂物，引起火灾</t>
  </si>
  <si>
    <t>√ 清理配电箱上杂物</t>
  </si>
  <si>
    <t>20-9-21</t>
  </si>
  <si>
    <t>一职工小腿轻微擦伤。</t>
  </si>
  <si>
    <t>李建伟</t>
  </si>
  <si>
    <t>√ 立即将篦子复位。</t>
  </si>
  <si>
    <t>背部轻微骨折，住院治疗一个月在家休养一个月。</t>
  </si>
  <si>
    <t>废水槽</t>
  </si>
  <si>
    <t>× 清除旧铁桶</t>
  </si>
  <si>
    <t>破损铝皮划伤手腕简单包扎处理不影响工作。</t>
  </si>
  <si>
    <t>刘梅</t>
  </si>
  <si>
    <t>× 用玻璃丝布缠绕</t>
  </si>
  <si>
    <t>人员触电</t>
  </si>
  <si>
    <t>高丽霞</t>
  </si>
  <si>
    <t>热力东区深井屋子</t>
  </si>
  <si>
    <t>× 电缆加绝缘防护
× 教育职工注意提高防范意识</t>
  </si>
  <si>
    <t>操作工在清理下料筒积煤时，光线太暗造成碰伤</t>
  </si>
  <si>
    <t>东二机头</t>
  </si>
  <si>
    <t>√ 电工更换灯泡
√ 灯光昏暗注意安全措施</t>
  </si>
  <si>
    <t>送医务室，腿部轻微擦伤上药，立即复工。</t>
  </si>
  <si>
    <t>深度脱硫碱剁</t>
  </si>
  <si>
    <t>√ 用绳子捆绑加固或撤走</t>
  </si>
  <si>
    <t>造成皮带割伤撕裂。</t>
  </si>
  <si>
    <t>任庆军</t>
  </si>
  <si>
    <t>√ 停车后岗位人员立即清理，严谨停车后不清理！</t>
  </si>
  <si>
    <t>污染环境</t>
  </si>
  <si>
    <t>马卫东</t>
  </si>
  <si>
    <t>粗苯南地下放空槽</t>
  </si>
  <si>
    <t>√ 用铁板覆盖</t>
  </si>
  <si>
    <t>造成腿部摔伤  送医务室治疗</t>
  </si>
  <si>
    <t>刘立聪</t>
  </si>
  <si>
    <t>北化产脱硫卸酸低位槽</t>
  </si>
  <si>
    <t>√ 切除翘起铁板</t>
  </si>
  <si>
    <t>一名员工左肩骨折，损工三个月</t>
  </si>
  <si>
    <t>汽轮机房西侧</t>
  </si>
  <si>
    <t>高处易坠物应及时清除，防止坠落伤人</t>
  </si>
  <si>
    <t>√ 联系电工固定好电缆桥架盖板，防止掉落伤人</t>
  </si>
  <si>
    <t>盖板已固定</t>
  </si>
  <si>
    <t>吊装门未关，操作工在巡检时碰伤，造成人员伤害</t>
  </si>
  <si>
    <t>√ 吊装门关闭
√ 使用完毕后必须按照规定把吊装门关闭</t>
  </si>
  <si>
    <t>一人触电，送医治疗，休养一个月。</t>
  </si>
  <si>
    <t>电气套管保护是必须要保证完好才能防止绝缘损坏，避免触电事故发生</t>
  </si>
  <si>
    <t>√ 修复绝缘套管，确保防护有效，避免绝缘损坏造成漏电触电事故</t>
  </si>
  <si>
    <t>套管已更换</t>
  </si>
  <si>
    <t>脱硫塔</t>
  </si>
  <si>
    <t>锅炉停车产生财产损失</t>
  </si>
  <si>
    <t>檀钰</t>
  </si>
  <si>
    <t>× 重新加装固定护盖
× 加强巡检</t>
  </si>
  <si>
    <t>腿部受伤，休养三天</t>
  </si>
  <si>
    <t>二楼出口旁窗户</t>
  </si>
  <si>
    <t>作业现场无用的尖锐物是造成人身伤害的隐患，应立即清除</t>
  </si>
  <si>
    <t>√ 割除尖锐物品，保证良好的作业环境，防止人员划伤</t>
  </si>
  <si>
    <t>尖铁已割除</t>
  </si>
  <si>
    <t>右小腿划伤，无损工</t>
  </si>
  <si>
    <t>东一地沟</t>
  </si>
  <si>
    <t>√ 立即加装篦子。</t>
  </si>
  <si>
    <t>造成手臂轻微挤伤</t>
  </si>
  <si>
    <t>刘会明</t>
  </si>
  <si>
    <t>东二岗位</t>
  </si>
  <si>
    <t>√ 操作工安装护栏套管
√ 人员操作时注意安全</t>
  </si>
  <si>
    <t>一名员工右肩骨折，治疗休养一百天。</t>
  </si>
  <si>
    <t>于彩亮</t>
  </si>
  <si>
    <t>5#减温减压二层平台</t>
  </si>
  <si>
    <t>场地保持整洁，避免绊倒伤害事故</t>
  </si>
  <si>
    <t>造成一人轻微伤</t>
  </si>
  <si>
    <t>赵金栋</t>
  </si>
  <si>
    <t>煤棚一号门西侧水沟</t>
  </si>
  <si>
    <t>账号错误，重新做</t>
  </si>
  <si>
    <t>污水池顶部</t>
  </si>
  <si>
    <t>加强电缆防护 ，防止绝缘损坏，避免触电事故</t>
  </si>
  <si>
    <t>√ 加装套管保护，防止电缆绝缘损坏，避免发生漏电触电事故</t>
  </si>
  <si>
    <t>已加装新套管</t>
  </si>
  <si>
    <t>一名操作人员被盖板砸中背部，不影响工作。</t>
  </si>
  <si>
    <t>清水池西侧</t>
  </si>
  <si>
    <t>泄露出氨水地面污染。车间通报批评。</t>
  </si>
  <si>
    <t>于雪艳</t>
  </si>
  <si>
    <t>澄清槽</t>
  </si>
  <si>
    <t>√ 封堵泄漏点</t>
  </si>
  <si>
    <t>摔倒后，造成膝盖大面积灼伤，损工一星期</t>
  </si>
  <si>
    <t>于佳佳</t>
  </si>
  <si>
    <t>新化学水加药间</t>
  </si>
  <si>
    <t>现场核实不符</t>
  </si>
  <si>
    <t>脚踝扭伤，送医治疗，损工10天。</t>
  </si>
  <si>
    <t>王秀莲</t>
  </si>
  <si>
    <t>机械化澄清槽南</t>
  </si>
  <si>
    <t>√ 清除废旧护栏</t>
  </si>
  <si>
    <t>一员工轻微伤</t>
  </si>
  <si>
    <t>刘伟伟</t>
  </si>
  <si>
    <t>一号门煤棚西侧水沟</t>
  </si>
  <si>
    <t>√ 更换篦子
√ 人员经过注意安全</t>
  </si>
  <si>
    <t>巡检时不慎掉落造成小腿骨折，损工半月</t>
  </si>
  <si>
    <t>王国花</t>
  </si>
  <si>
    <t>× 恢复盖板
× 盖好齐全</t>
  </si>
  <si>
    <t>腿部骨折，损工30天。</t>
  </si>
  <si>
    <t>粗苯贫油槽爬梯</t>
  </si>
  <si>
    <t>√ 添加警示牌</t>
  </si>
  <si>
    <t>一名操作工被高温脱硫液烫伤面部造成面部红肿起水泡损工3天</t>
  </si>
  <si>
    <t>高卫东</t>
  </si>
  <si>
    <t>搅拌罐底部</t>
  </si>
  <si>
    <t>√ 处理腐蚀管道</t>
  </si>
  <si>
    <t>盖板已更换</t>
  </si>
  <si>
    <t>75吨锅炉</t>
  </si>
  <si>
    <t>造成一操作工手指损伤，休息一周</t>
  </si>
  <si>
    <t>75吨锅炉顶</t>
  </si>
  <si>
    <t>× 更换破损线缆
× 不准再将线缆放在高温设施上方</t>
  </si>
  <si>
    <t>煤气冷凝液泄漏而污染环境造成环保事故</t>
  </si>
  <si>
    <t>南管式炉处</t>
  </si>
  <si>
    <t>√ 压实阀门盘根</t>
  </si>
  <si>
    <t>右脚划伤损工半天。</t>
  </si>
  <si>
    <t>× 更换铁质盖板
× 教育职工注意提高防范意识</t>
  </si>
  <si>
    <t>皮带划伤</t>
  </si>
  <si>
    <t>刘汉东</t>
  </si>
  <si>
    <t>√ 更换托辊
√ 使用时注意检查</t>
  </si>
  <si>
    <t>负荷停带</t>
  </si>
  <si>
    <t>√ 维修更换
√ 开启设备时注意观察，发现问题及时处理</t>
  </si>
  <si>
    <t>设备跳闸，造成财产损失</t>
  </si>
  <si>
    <t>锅炉平台西</t>
  </si>
  <si>
    <t>× 加装防护盖
× 注意防淋</t>
  </si>
  <si>
    <t>√ 更换破损托辊
√ 使用时发现破损托辊及时更换，防止划伤皮带</t>
  </si>
  <si>
    <t>家休养7天，损工7天</t>
  </si>
  <si>
    <t>20-10-26</t>
  </si>
  <si>
    <t>配电室需按标准规范配绝缘胶板</t>
  </si>
  <si>
    <t>√ 更换绝缘胶板，确保完整有效性</t>
  </si>
  <si>
    <t>20-10-1</t>
  </si>
  <si>
    <t>右脚划伤损工半天</t>
  </si>
  <si>
    <t>煤棚水沟</t>
  </si>
  <si>
    <t>√ 重新更换盖板
√ 人员经过时注意脚下，防止绊倒</t>
  </si>
  <si>
    <t>长时间运行会损伤胶带，影响生产效益</t>
  </si>
  <si>
    <t>毕玉军</t>
  </si>
  <si>
    <t>√ 停车更换新托辊，以免造成装置非计划停车！</t>
  </si>
  <si>
    <t>皮带划伤撕裂和溢料耽误生产</t>
  </si>
  <si>
    <t>西一地沟下料斗挡煤板</t>
  </si>
  <si>
    <t>重复项，终止此报告</t>
  </si>
  <si>
    <t>√ 维修焊补
√ 使用设备时，发现问题及时处理，防止出现设备事故</t>
  </si>
  <si>
    <t>装置损坏，停机检修。</t>
  </si>
  <si>
    <t>单清燕</t>
  </si>
  <si>
    <t>√ 尽快维修或更换。</t>
  </si>
  <si>
    <t>脚踝扭伤，住院治疗5天，在家休养10天。痊愈。损工15天。</t>
  </si>
  <si>
    <t>王盛超</t>
  </si>
  <si>
    <t>锅炉东侧楼梯</t>
  </si>
  <si>
    <t>经现场核查，隐患不符</t>
  </si>
  <si>
    <t>右臂骨折，损工105天。</t>
  </si>
  <si>
    <t>煤场大棚北</t>
  </si>
  <si>
    <t>√ 对防风墙进行全面检查，对查出的隐患立即整改，并教育职工尽量不要靠近高层建筑下方行走或逗留。</t>
  </si>
  <si>
    <t>大量冷凝液流出造成环保事故发生</t>
  </si>
  <si>
    <t>39#水封</t>
  </si>
  <si>
    <t>财产损失一千元</t>
  </si>
  <si>
    <t>徐永亮</t>
  </si>
  <si>
    <t>√ 将护罩进行加固。</t>
  </si>
  <si>
    <t>损工三天</t>
  </si>
  <si>
    <t>刘金光</t>
  </si>
  <si>
    <t>东一门口</t>
  </si>
  <si>
    <t>一职工手臂擦伤。</t>
  </si>
  <si>
    <t>张立峰</t>
  </si>
  <si>
    <t>√ 尽快将护栏进行复位。</t>
  </si>
  <si>
    <t>轻微中毒，休息片刻后继续工作。</t>
  </si>
  <si>
    <t>北地下放空槽</t>
  </si>
  <si>
    <t>√ 固定护栏门加警示标识</t>
  </si>
  <si>
    <t>操作工左手轻微扭伤</t>
  </si>
  <si>
    <t>√ 清除杂物</t>
  </si>
  <si>
    <t>化产车间南脱硫岗位</t>
  </si>
  <si>
    <t>住院15天，修养90天。</t>
  </si>
  <si>
    <t>付洪国</t>
  </si>
  <si>
    <t>初冷器东侧</t>
  </si>
  <si>
    <t>× 焊接</t>
  </si>
  <si>
    <t>南化产风机岗位</t>
  </si>
  <si>
    <t>设备损坏和环境污染事故</t>
  </si>
  <si>
    <t>杨爱富</t>
  </si>
  <si>
    <t>风机前水封槽</t>
  </si>
  <si>
    <t>√ 加固防护罩</t>
  </si>
  <si>
    <t>铝皮脱落，划伤颈部。</t>
  </si>
  <si>
    <t>硫铵仓库东管架</t>
  </si>
  <si>
    <t>√ 加固开裂处</t>
  </si>
  <si>
    <t>一员工右手骨折，损工三个月！</t>
  </si>
  <si>
    <t>代立峰</t>
  </si>
  <si>
    <t>√ 护栏立即停车复位，以免发生人员伤害！</t>
  </si>
  <si>
    <t>在开门取水龙带时门子容易掉下来咂伤脚部，休息片刻后继续工作。</t>
  </si>
  <si>
    <t>粗苯排渣罐西墙外面</t>
  </si>
  <si>
    <t>√ 加固</t>
  </si>
  <si>
    <t>操作工，开阀门时不慎掉落，造成小腿骨折，损工一个月</t>
  </si>
  <si>
    <t>刘海翠</t>
  </si>
  <si>
    <t>老化学水水池出口阀管</t>
  </si>
  <si>
    <t>缝隙不构成人员跌落风险</t>
  </si>
  <si>
    <t>硫酸腐蚀皮肤，损工8天</t>
  </si>
  <si>
    <t>硫酸罐区</t>
  </si>
  <si>
    <t>下雨进水，损坏液位计</t>
  </si>
  <si>
    <t>溶液循环槽</t>
  </si>
  <si>
    <t>√ 更换链接管</t>
  </si>
  <si>
    <t>易进水损坏电动阀</t>
  </si>
  <si>
    <t>初冷器底部</t>
  </si>
  <si>
    <t>√ 更换防爆管</t>
  </si>
  <si>
    <t>风机初冷器</t>
  </si>
  <si>
    <t>造成风机系统停机，焦炉冒烟，公司内通报批评。</t>
  </si>
  <si>
    <t>初冷器出口煤气管道</t>
  </si>
  <si>
    <t>高温炉灰躲闪不及时容易造成高温灼伤人员伤害</t>
  </si>
  <si>
    <t>刘新军</t>
  </si>
  <si>
    <t>锅炉一层</t>
  </si>
  <si>
    <t>× 更换卸灰阀
× 教育职工注意提高防范意识</t>
  </si>
  <si>
    <t>小腿骨折，损工91天</t>
  </si>
  <si>
    <t>刘洪芳</t>
  </si>
  <si>
    <t>东硫铵卸酸槽</t>
  </si>
  <si>
    <t>一人烫伤左手臂，正常上班</t>
  </si>
  <si>
    <t>王海国</t>
  </si>
  <si>
    <t>液下泵蒸汽阀门</t>
  </si>
  <si>
    <t>× 更换阀门垫子</t>
  </si>
  <si>
    <t>非正常停车</t>
  </si>
  <si>
    <t>谢晓梅</t>
  </si>
  <si>
    <t>中控室</t>
  </si>
  <si>
    <t>√ 联系电工更换照明灯</t>
  </si>
  <si>
    <t>住院治疗7天，损工一月</t>
  </si>
  <si>
    <t>结晶槽</t>
  </si>
  <si>
    <t>× 制作安装踢脚板
× 教育职工注意提高防范意识</t>
  </si>
  <si>
    <t>安全带勒伤人员，送医治疗，休息五天上班，损工。</t>
  </si>
  <si>
    <t>20-10-28</t>
  </si>
  <si>
    <t>南脱硫南框架</t>
  </si>
  <si>
    <t>× 停止作业，进行安全培训规范使用安全带</t>
  </si>
  <si>
    <t>右小腿擦伤，休息一会后不影响工作</t>
  </si>
  <si>
    <t>刘兴业</t>
  </si>
  <si>
    <t>东煤厂</t>
  </si>
  <si>
    <t>√ 尽快将裸露于地面以上部分的钢筋割除。</t>
  </si>
  <si>
    <t>一职工手臂轻微擦伤。</t>
  </si>
  <si>
    <t>胡红梅</t>
  </si>
  <si>
    <t>√ 悬挂警示牌。</t>
  </si>
  <si>
    <t>一名人员左手轻微骨裂，损工七天。</t>
  </si>
  <si>
    <t>老凉水架西马路北侧</t>
  </si>
  <si>
    <t>√ 清除周边预断裂的管道</t>
  </si>
  <si>
    <t>一人腿部轻微擦伤</t>
  </si>
  <si>
    <t>赵高青</t>
  </si>
  <si>
    <t>√ 更换油管</t>
  </si>
  <si>
    <t>粒度超标，影响焦炭质量</t>
  </si>
  <si>
    <t>毕兵</t>
  </si>
  <si>
    <t>1618破碎机</t>
  </si>
  <si>
    <t>√ 对到期反击板进行全面更换。</t>
  </si>
  <si>
    <t>张仁良</t>
  </si>
  <si>
    <t>75T锅炉渣库</t>
  </si>
  <si>
    <t>车体受损经济损失500元。</t>
  </si>
  <si>
    <t>丁曰海</t>
  </si>
  <si>
    <t>西四西侧</t>
  </si>
  <si>
    <t>√ 将损坏的管道尽快清出现场。</t>
  </si>
  <si>
    <t>液碱喷溅衣服上，处理及时，未造成人员伤害。</t>
  </si>
  <si>
    <t>生化</t>
  </si>
  <si>
    <t>√ 停止设备，倒备用泵。
√ 更换O型圈，消除设备漏点。</t>
  </si>
  <si>
    <t>一人眼部灼伤，住院治疗三天，在家休养一周</t>
  </si>
  <si>
    <t>王雪颖</t>
  </si>
  <si>
    <t>新化学水厂房</t>
  </si>
  <si>
    <t>一人损工。</t>
  </si>
  <si>
    <t>刘洪光</t>
  </si>
  <si>
    <t>二楼离心机</t>
  </si>
  <si>
    <t>× 更换垫子或腐蚀的短接</t>
  </si>
  <si>
    <t>人员触电，损工一周</t>
  </si>
  <si>
    <t>孙绍华</t>
  </si>
  <si>
    <t>南脱硫循环槽上部</t>
  </si>
  <si>
    <t>× 电工规范接线</t>
  </si>
  <si>
    <t>住院治疗，损工两个月。</t>
  </si>
  <si>
    <t>付洪友</t>
  </si>
  <si>
    <t>锅炉汽包旁边</t>
  </si>
  <si>
    <t>一员工治疗IO天，损工IO天</t>
  </si>
  <si>
    <t>高国卿</t>
  </si>
  <si>
    <t>35t锅炉一楼</t>
  </si>
  <si>
    <t>× 工完料清场地净
× 工具定制存放</t>
  </si>
  <si>
    <t>右脚磕伤，医务室处理后正常上班</t>
  </si>
  <si>
    <t>脱硫循环水池</t>
  </si>
  <si>
    <t>已废弃</t>
  </si>
  <si>
    <t>一名操作工被砸伤左脚，造成左脚红肿，损工3天。</t>
  </si>
  <si>
    <t>√ 拆除铁管支架</t>
  </si>
  <si>
    <t>一职工脸部轻微擦伤，消毒处理后，继续工作</t>
  </si>
  <si>
    <t>高洪吉</t>
  </si>
  <si>
    <t>√ 联系维修焊补</t>
  </si>
  <si>
    <t>危废库</t>
  </si>
  <si>
    <t>一人触电死亡</t>
  </si>
  <si>
    <t>危废库北库房</t>
  </si>
  <si>
    <t>× 更换穿线管</t>
  </si>
  <si>
    <t>造成污水处理设备停运5个小时，少处理污水180立方</t>
  </si>
  <si>
    <t>污水超滤</t>
  </si>
  <si>
    <t>左手臂轻微擦伤</t>
  </si>
  <si>
    <t>赵玉强</t>
  </si>
  <si>
    <t>北脱硫泵房北门口路面</t>
  </si>
  <si>
    <t>× 清楚路边废铁管</t>
  </si>
  <si>
    <t>左小腿划伤，无损工。</t>
  </si>
  <si>
    <t>收发室</t>
  </si>
  <si>
    <t>√ 对损坏的盖板进行更换。</t>
  </si>
  <si>
    <t>财产损失2-10万元</t>
  </si>
  <si>
    <t>装置损坏，非正常停机，经济损失500元</t>
  </si>
  <si>
    <t>张勇</t>
  </si>
  <si>
    <t>√ 尽快加固。</t>
  </si>
  <si>
    <t>一职工手臂轻微擦伤</t>
  </si>
  <si>
    <t>刘春峰</t>
  </si>
  <si>
    <t>75t锅炉，渣库爬梯</t>
  </si>
  <si>
    <t>× 悬挂“上下爬梯注意安全”警示牌
× 教育职工注意提高防范意识</t>
  </si>
  <si>
    <t>煤场道路水沟</t>
  </si>
  <si>
    <t>√ 更换盖板
√ 人员行走注意脚下安全</t>
  </si>
  <si>
    <t>一名操作人员被防尘网砸到头部，造成轻微脑震荡</t>
  </si>
  <si>
    <t>20-10-29</t>
  </si>
  <si>
    <t>粗苯南侧</t>
  </si>
  <si>
    <t>√ 加固脱落的防尘网</t>
  </si>
  <si>
    <t>人员挤伤</t>
  </si>
  <si>
    <t>杨斌</t>
  </si>
  <si>
    <t>20-11-1</t>
  </si>
  <si>
    <t>√ 立即联系维修焊接，以防事故发生！</t>
  </si>
  <si>
    <t>污水外漏，污染环境</t>
  </si>
  <si>
    <t>赵延平</t>
  </si>
  <si>
    <t>煤场西南角</t>
  </si>
  <si>
    <t>√ 尽快维修，加强管理，杜绝“跑”、“冒”、“滴”、“漏”现象发生。</t>
  </si>
  <si>
    <t>炼焦车间工段</t>
  </si>
  <si>
    <t>气源管线脱落或减压阀掉落造成一次除尘故障</t>
  </si>
  <si>
    <t>磕破皮(小腿)</t>
  </si>
  <si>
    <t>热力车间西北角地沟盖</t>
  </si>
  <si>
    <t>× 重新制作盖板
× 盖好，保持盖板齐全</t>
  </si>
  <si>
    <t>破片击伤该操作工面部造成轻微划伤，没有损工</t>
  </si>
  <si>
    <t>切片机</t>
  </si>
  <si>
    <t>化水浓水排放地沟</t>
  </si>
  <si>
    <t>一名巡检工扭伤脚腕，划伤小腿，简单包扎休息后，不影响工作</t>
  </si>
  <si>
    <t>化学水</t>
  </si>
  <si>
    <t>炼焦车间干熄焦</t>
  </si>
  <si>
    <t>张立新</t>
  </si>
  <si>
    <t>干熄焦焦粉仓</t>
  </si>
  <si>
    <t>一人损工事故</t>
  </si>
  <si>
    <t>张志然</t>
  </si>
  <si>
    <t>20-11-7</t>
  </si>
  <si>
    <t>× 增设防护罩
× 现场设置警示标志</t>
  </si>
  <si>
    <t>脱硫氨水池内</t>
  </si>
  <si>
    <t>2一10万财产损失</t>
  </si>
  <si>
    <t>刘德明</t>
  </si>
  <si>
    <t>脱硫氨水池</t>
  </si>
  <si>
    <t>腐蚀计量泵造成泵损坏</t>
  </si>
  <si>
    <t>崔艳艳</t>
  </si>
  <si>
    <t>隐患描述不清</t>
  </si>
  <si>
    <t>机侧二层平台</t>
  </si>
  <si>
    <t>× 加固平台
× 平台覆盖铁板</t>
  </si>
  <si>
    <t>刘磊</t>
  </si>
  <si>
    <t>√ 严格按照岗位物品摆放标准进行摆放，提高意识，加强辨识。</t>
  </si>
  <si>
    <t>集团公司通报</t>
  </si>
  <si>
    <t>程秀鹏</t>
  </si>
  <si>
    <t>× 更换油缸
× 及时消除隐患</t>
  </si>
  <si>
    <t>一名操作工右手粉碎性骨折截肢，损工半年。</t>
  </si>
  <si>
    <t>两盐分离器附近</t>
  </si>
  <si>
    <t>设备停电，造成生产停产，造成环保事故</t>
  </si>
  <si>
    <t>× 恢复护盖
× 固定牢固</t>
  </si>
  <si>
    <t>5.5米焦炉煤气水封</t>
  </si>
  <si>
    <t>一人中毒事故</t>
  </si>
  <si>
    <t>煤仓底部</t>
  </si>
  <si>
    <t>用彩钢瓦封堵和煤气水封泄露没有必然关系</t>
  </si>
  <si>
    <t>造成环保事故，集团公司通报批评。</t>
  </si>
  <si>
    <t>脚踝划伤</t>
  </si>
</sst>
</file>

<file path=xl/styles.xml><?xml version="1.0" encoding="utf-8"?>
<styleSheet xmlns="http://schemas.openxmlformats.org/spreadsheetml/2006/main" xml:space="preserve">
  <numFmts count="0"/>
  <fonts count="6">
    <font>
      <b val="0"/>
      <i val="0"/>
      <strike val="0"/>
      <u val="none"/>
      <sz val="8"/>
      <color rgb="FF000000"/>
      <name val="Arial"/>
    </font>
    <font>
      <b val="1"/>
      <i val="0"/>
      <strike val="0"/>
      <u val="none"/>
      <sz val="16"/>
      <color rgb="FF000000"/>
      <name val="Arial"/>
    </font>
    <font>
      <b val="0"/>
      <i val="0"/>
      <strike val="0"/>
      <u val="none"/>
      <sz val="10"/>
      <color rgb="FF000000"/>
      <name val="Arial"/>
    </font>
    <font>
      <b val="0"/>
      <i val="0"/>
      <strike val="0"/>
      <u val="none"/>
      <sz val="8"/>
      <color rgb="000000"/>
      <name val="Arial"/>
    </font>
    <font>
      <b val="0"/>
      <i val="0"/>
      <strike val="0"/>
      <u val="none"/>
      <sz val="8"/>
      <color rgb="0000CD"/>
      <name val="Arial"/>
    </font>
    <font>
      <b val="0"/>
      <i val="0"/>
      <strike val="0"/>
      <u val="none"/>
      <sz val="8"/>
      <color rgb="DC143C"/>
      <name val="Arial"/>
    </font>
  </fonts>
  <fills count="10">
    <fill>
      <patternFill patternType="none"/>
    </fill>
    <fill>
      <patternFill patternType="gray125">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A0D565"/>
        <bgColor rgb="FF000000"/>
      </patternFill>
    </fill>
    <fill>
      <patternFill patternType="solid">
        <fgColor rgb="FFFFD85D"/>
        <bgColor rgb="FF000000"/>
      </patternFill>
    </fill>
    <fill>
      <patternFill patternType="solid">
        <fgColor rgb="FF90EE90"/>
        <bgColor rgb="FF000000"/>
      </patternFill>
    </fill>
    <fill>
      <patternFill patternType="solid">
        <fgColor rgb="FF3CB371"/>
        <bgColor rgb="FF000000"/>
      </patternFill>
    </fill>
    <fill>
      <patternFill patternType="solid">
        <fgColor rgb="FFF8F8FF"/>
        <bgColor rgb="FF000000"/>
      </patternFill>
    </fill>
    <fill>
      <patternFill patternType="solid">
        <fgColor rgb="FFFFD7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7">
    <xf xfId="0" fontId="0" numFmtId="0" fillId="0" borderId="0" applyFont="0" applyNumberFormat="0" applyFill="0" applyBorder="0" applyAlignment="0">
      <alignment horizontal="general" vertical="top" textRotation="0" wrapText="true" shrinkToFit="false"/>
    </xf>
    <xf xfId="0" fontId="0" numFmtId="0" fillId="0" borderId="0" applyFont="0"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0" numFmtId="0" fillId="2" borderId="1" applyFont="0" applyNumberFormat="0" applyFill="1" applyBorder="1" applyAlignment="1">
      <alignment horizontal="center" vertical="top" textRotation="0" wrapText="true" shrinkToFit="false"/>
    </xf>
    <xf xfId="0" fontId="0" numFmtId="0" fillId="2" borderId="1" applyFont="0" applyNumberFormat="0" applyFill="1" applyBorder="1" applyAlignment="0">
      <alignment horizontal="general" vertical="top" textRotation="0" wrapText="true" shrinkToFit="false"/>
    </xf>
    <xf xfId="0" fontId="0" numFmtId="0" fillId="3" borderId="1" applyFont="0" applyNumberFormat="0" applyFill="1" applyBorder="1" applyAlignment="1">
      <alignment horizontal="center" vertical="top" textRotation="0" wrapText="true" shrinkToFit="false"/>
    </xf>
    <xf xfId="0" fontId="0" numFmtId="0" fillId="3" borderId="1" applyFont="0" applyNumberFormat="0" applyFill="1" applyBorder="1" applyAlignment="0">
      <alignment horizontal="general" vertical="top" textRotation="0" wrapText="true" shrinkToFit="false"/>
    </xf>
    <xf xfId="0" fontId="0" numFmtId="0" fillId="4" borderId="1" applyFont="0" applyNumberFormat="0" applyFill="1" applyBorder="1" applyAlignment="0">
      <alignment horizontal="general" vertical="top" textRotation="0" wrapText="true" shrinkToFit="false"/>
    </xf>
    <xf xfId="0" fontId="0" numFmtId="0" fillId="5" borderId="1" applyFont="0" applyNumberFormat="0" applyFill="1" applyBorder="1" applyAlignment="1">
      <alignment horizontal="center" vertical="top" textRotation="0" wrapText="true" shrinkToFit="false"/>
    </xf>
    <xf xfId="0" fontId="0" numFmtId="0" fillId="5" borderId="1" applyFont="0" applyNumberFormat="0" applyFill="1" applyBorder="1" applyAlignment="0">
      <alignment horizontal="general" vertical="top" textRotation="0" wrapText="true" shrinkToFit="false"/>
    </xf>
    <xf xfId="0" fontId="2" numFmtId="0" fillId="2" borderId="1" applyFont="1" applyNumberFormat="0" applyFill="1" applyBorder="1" applyAlignment="1">
      <alignment horizontal="center" vertical="top" textRotation="0" wrapText="true" shrinkToFit="false"/>
    </xf>
    <xf xfId="0" fontId="2" numFmtId="0" fillId="2" borderId="1" applyFont="1" applyNumberFormat="0" applyFill="1" applyBorder="1" applyAlignment="0">
      <alignment horizontal="general" vertical="top" textRotation="0" wrapText="true" shrinkToFit="false"/>
    </xf>
    <xf xfId="0" fontId="2"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0">
      <alignment horizontal="general" vertical="top" textRotation="0" wrapText="true" shrinkToFit="false"/>
    </xf>
    <xf xfId="0" fontId="2" numFmtId="0" fillId="4" borderId="1" applyFont="1" applyNumberFormat="0" applyFill="1" applyBorder="1" applyAlignment="1">
      <alignment horizontal="center" vertical="top" textRotation="0" wrapText="true" shrinkToFit="false"/>
    </xf>
    <xf xfId="0" fontId="2" numFmtId="0" fillId="4" borderId="1" applyFont="1" applyNumberFormat="0" applyFill="1" applyBorder="1" applyAlignment="0">
      <alignment horizontal="general" vertical="top" textRotation="0" wrapText="true" shrinkToFit="false"/>
    </xf>
    <xf xfId="0" fontId="2" numFmtId="0" fillId="5" borderId="1" applyFont="1" applyNumberFormat="0" applyFill="1" applyBorder="1" applyAlignment="1">
      <alignment horizontal="center" vertical="top" textRotation="0" wrapText="true" shrinkToFit="false"/>
    </xf>
    <xf xfId="0" fontId="2" numFmtId="0" fillId="5" borderId="1" applyFont="1" applyNumberFormat="0" applyFill="1" applyBorder="1" applyAlignment="0">
      <alignment horizontal="general" vertical="top" textRotation="0" wrapText="true" shrinkToFit="false"/>
    </xf>
    <xf xfId="0" fontId="2" numFmtId="0" fillId="0" borderId="0" applyFont="1" applyNumberFormat="0" applyFill="0" applyBorder="0" applyAlignment="0">
      <alignment horizontal="general" vertical="top" textRotation="0" wrapText="true" shrinkToFit="false"/>
    </xf>
    <xf xfId="0" fontId="0" numFmtId="0" fillId="0" borderId="1" applyFont="0" applyNumberFormat="0" applyFill="0" applyBorder="1" applyAlignment="0">
      <alignment horizontal="general" vertical="top" textRotation="0" wrapText="true" shrinkToFit="false"/>
    </xf>
    <xf xfId="0" fontId="0" numFmtId="0" fillId="6" borderId="1" applyFont="0" applyNumberFormat="0" applyFill="1" applyBorder="1" applyAlignment="0">
      <alignment horizontal="general" vertical="top" textRotation="0" wrapText="true" shrinkToFit="false"/>
    </xf>
    <xf xfId="0" fontId="3" numFmtId="0" fillId="0" borderId="1" applyFont="1" applyNumberFormat="0" applyFill="0" applyBorder="1" applyAlignment="0">
      <alignment horizontal="general" vertical="top" textRotation="0" wrapText="true" shrinkToFit="false"/>
    </xf>
    <xf xfId="0" fontId="4" numFmtId="0" fillId="0" borderId="1" applyFont="1" applyNumberFormat="0" applyFill="0" applyBorder="1" applyAlignment="0">
      <alignment horizontal="general" vertical="top" textRotation="0" wrapText="true" shrinkToFit="false"/>
    </xf>
    <xf xfId="0" fontId="5" numFmtId="0" fillId="0" borderId="1" applyFont="1" applyNumberFormat="0" applyFill="0" applyBorder="1" applyAlignment="0">
      <alignment horizontal="general" vertical="top" textRotation="0" wrapText="true" shrinkToFit="false"/>
    </xf>
    <xf xfId="0" fontId="0" numFmtId="0" fillId="7" borderId="1" applyFont="0" applyNumberFormat="0" applyFill="1" applyBorder="1" applyAlignment="0">
      <alignment horizontal="general" vertical="top" textRotation="0" wrapText="true" shrinkToFit="false"/>
    </xf>
    <xf xfId="0" fontId="0" numFmtId="0" fillId="8" borderId="1" applyFont="0" applyNumberFormat="0" applyFill="1" applyBorder="1" applyAlignment="0">
      <alignment horizontal="general" vertical="top" textRotation="0" wrapText="true" shrinkToFit="false"/>
    </xf>
    <xf xfId="0" fontId="0" numFmtId="0" fillId="9" borderId="1" applyFont="0" applyNumberFormat="0" applyFill="1" applyBorder="1" applyAlignment="0">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henontech.com/fieldsafety/harzard/harzard_show.php?rid=972&amp;url=harzardrecs.php" TargetMode="External"/><Relationship Id="rId_hyperlink_2" Type="http://schemas.openxmlformats.org/officeDocument/2006/relationships/hyperlink" Target="http://www.henontech.com/fieldsafety/harzard/harzard_show.php?rid=1002&amp;url=harzardrecs.php" TargetMode="External"/><Relationship Id="rId_hyperlink_3" Type="http://schemas.openxmlformats.org/officeDocument/2006/relationships/hyperlink" Target="http://www.henontech.com/fieldsafety/harzard/harzard_show.php?rid=1050&amp;url=harzardrecs.php" TargetMode="External"/><Relationship Id="rId_hyperlink_4" Type="http://schemas.openxmlformats.org/officeDocument/2006/relationships/hyperlink" Target="http://www.henontech.com/fieldsafety/harzard/harzard_show.php?rid=1086&amp;url=harzardrecs.php" TargetMode="External"/><Relationship Id="rId_hyperlink_5" Type="http://schemas.openxmlformats.org/officeDocument/2006/relationships/hyperlink" Target="http://www.henontech.com/fieldsafety/harzard/harzard_show.php?rid=1144&amp;url=harzardrecs.php" TargetMode="External"/><Relationship Id="rId_hyperlink_6" Type="http://schemas.openxmlformats.org/officeDocument/2006/relationships/hyperlink" Target="http://www.henontech.com/fieldsafety/harzard/harzard_show.php?rid=1165&amp;url=harzardrecs.php" TargetMode="External"/><Relationship Id="rId_hyperlink_7" Type="http://schemas.openxmlformats.org/officeDocument/2006/relationships/hyperlink" Target="http://www.henontech.com/fieldsafety/harzard/harzard_show.php?rid=1236&amp;url=harzardrecs.php" TargetMode="External"/><Relationship Id="rId_hyperlink_8" Type="http://schemas.openxmlformats.org/officeDocument/2006/relationships/hyperlink" Target="http://www.henontech.com/fieldsafety/harzard/harzard_show.php?rid=1267&amp;url=harzardrecs.php" TargetMode="External"/><Relationship Id="rId_hyperlink_9" Type="http://schemas.openxmlformats.org/officeDocument/2006/relationships/hyperlink" Target="http://www.henontech.com/fieldsafety/harzard/harzard_show.php?rid=1315&amp;url=harzardrecs.php" TargetMode="External"/><Relationship Id="rId_hyperlink_10" Type="http://schemas.openxmlformats.org/officeDocument/2006/relationships/hyperlink" Target="http://www.henontech.com/fieldsafety/harzard/harzard_show.php?rid=1323&amp;url=harzardrecs.php" TargetMode="External"/><Relationship Id="rId_hyperlink_11" Type="http://schemas.openxmlformats.org/officeDocument/2006/relationships/hyperlink" Target="http://www.henontech.com/fieldsafety/harzard/harzard_show.php?rid=1338&amp;url=harzardrecs.php" TargetMode="External"/><Relationship Id="rId_hyperlink_12" Type="http://schemas.openxmlformats.org/officeDocument/2006/relationships/hyperlink" Target="http://www.henontech.com/fieldsafety/harzard/harzard_show.php?rid=1347&amp;url=harzardrecs.php" TargetMode="External"/><Relationship Id="rId_hyperlink_13" Type="http://schemas.openxmlformats.org/officeDocument/2006/relationships/hyperlink" Target="http://www.henontech.com/fieldsafety/harzard/harzard_show.php?rid=1356&amp;url=harzardrecs.php" TargetMode="External"/><Relationship Id="rId_hyperlink_14" Type="http://schemas.openxmlformats.org/officeDocument/2006/relationships/hyperlink" Target="http://www.henontech.com/fieldsafety/harzard/harzard_show.php?rid=1362&amp;url=harzardrecs.php" TargetMode="External"/><Relationship Id="rId_hyperlink_15" Type="http://schemas.openxmlformats.org/officeDocument/2006/relationships/hyperlink" Target="http://www.henontech.com/fieldsafety/harzard/harzard_show.php?rid=1368&amp;url=harzardrecs.php" TargetMode="External"/><Relationship Id="rId_hyperlink_16" Type="http://schemas.openxmlformats.org/officeDocument/2006/relationships/hyperlink" Target="http://www.henontech.com/fieldsafety/harzard/harzard_show.php?rid=1371&amp;url=harzardrecs.php" TargetMode="External"/><Relationship Id="rId_hyperlink_17" Type="http://schemas.openxmlformats.org/officeDocument/2006/relationships/hyperlink" Target="http://www.henontech.com/fieldsafety/harzard/harzard_show.php?rid=1371&amp;url=harzardrecs.php" TargetMode="External"/><Relationship Id="rId_hyperlink_18" Type="http://schemas.openxmlformats.org/officeDocument/2006/relationships/hyperlink" Target="http://www.henontech.com/fieldsafety/harzard/harzard_show.php?rid=1374&amp;url=harzardrecs.php" TargetMode="External"/><Relationship Id="rId_hyperlink_19" Type="http://schemas.openxmlformats.org/officeDocument/2006/relationships/hyperlink" Target="http://www.henontech.com/fieldsafety/harzard/harzard_show.php?rid=1376&amp;url=harzardrecs.php" TargetMode="External"/><Relationship Id="rId_hyperlink_20" Type="http://schemas.openxmlformats.org/officeDocument/2006/relationships/hyperlink" Target="http://www.henontech.com/fieldsafety/harzard/harzard_show.php?rid=1384&amp;url=harzardrecs.php" TargetMode="External"/><Relationship Id="rId_hyperlink_21" Type="http://schemas.openxmlformats.org/officeDocument/2006/relationships/hyperlink" Target="http://www.henontech.com/fieldsafety/harzard/harzard_show.php?rid=1393&amp;url=harzardrecs.php" TargetMode="External"/><Relationship Id="rId_hyperlink_22" Type="http://schemas.openxmlformats.org/officeDocument/2006/relationships/hyperlink" Target="http://www.henontech.com/fieldsafety/harzard/harzard_show.php?rid=1394&amp;url=harzardrecs.php" TargetMode="External"/><Relationship Id="rId_hyperlink_23" Type="http://schemas.openxmlformats.org/officeDocument/2006/relationships/hyperlink" Target="http://www.henontech.com/fieldsafety/harzard/harzard_show.php?rid=1395&amp;url=harzardrecs.php" TargetMode="External"/><Relationship Id="rId_hyperlink_24" Type="http://schemas.openxmlformats.org/officeDocument/2006/relationships/hyperlink" Target="http://www.henontech.com/fieldsafety/harzard/harzard_show.php?rid=1401&amp;url=harzardrecs.php" TargetMode="External"/><Relationship Id="rId_hyperlink_25" Type="http://schemas.openxmlformats.org/officeDocument/2006/relationships/hyperlink" Target="http://www.henontech.com/fieldsafety/harzard/harzard_show.php?rid=1404&amp;url=harzardrecs.php" TargetMode="External"/><Relationship Id="rId_hyperlink_26" Type="http://schemas.openxmlformats.org/officeDocument/2006/relationships/hyperlink" Target="http://www.henontech.com/fieldsafety/harzard/harzard_show.php?rid=1405&amp;url=harzardrecs.php" TargetMode="External"/><Relationship Id="rId_hyperlink_27" Type="http://schemas.openxmlformats.org/officeDocument/2006/relationships/hyperlink" Target="http://www.henontech.com/fieldsafety/harzard/harzard_show.php?rid=1413&amp;url=harzardrecs.php" TargetMode="External"/><Relationship Id="rId_hyperlink_28" Type="http://schemas.openxmlformats.org/officeDocument/2006/relationships/hyperlink" Target="http://www.henontech.com/fieldsafety/harzard/harzard_show.php?rid=1414&amp;url=harzardrecs.php" TargetMode="External"/><Relationship Id="rId_hyperlink_29" Type="http://schemas.openxmlformats.org/officeDocument/2006/relationships/hyperlink" Target="http://www.henontech.com/fieldsafety/harzard/harzard_show.php?rid=1416&amp;url=harzardrecs.php" TargetMode="External"/><Relationship Id="rId_hyperlink_30" Type="http://schemas.openxmlformats.org/officeDocument/2006/relationships/hyperlink" Target="http://www.henontech.com/fieldsafety/harzard/harzard_show.php?rid=1423&amp;url=harzardrecs.php" TargetMode="External"/><Relationship Id="rId_hyperlink_31" Type="http://schemas.openxmlformats.org/officeDocument/2006/relationships/hyperlink" Target="http://www.henontech.com/fieldsafety/harzard/harzard_show.php?rid=1438&amp;url=harzardrecs.php" TargetMode="External"/><Relationship Id="rId_hyperlink_32" Type="http://schemas.openxmlformats.org/officeDocument/2006/relationships/hyperlink" Target="http://www.henontech.com/fieldsafety/harzard/harzard_show.php?rid=1458&amp;url=harzardrecs.php" TargetMode="External"/><Relationship Id="rId_hyperlink_33" Type="http://schemas.openxmlformats.org/officeDocument/2006/relationships/hyperlink" Target="http://www.henontech.com/fieldsafety/harzard/harzard_show.php?rid=1461&amp;url=harzardrecs.php" TargetMode="External"/><Relationship Id="rId_hyperlink_34" Type="http://schemas.openxmlformats.org/officeDocument/2006/relationships/hyperlink" Target="http://www.henontech.com/fieldsafety/harzard/harzard_show.php?rid=1463&amp;url=harzardrecs.php" TargetMode="External"/><Relationship Id="rId_hyperlink_35" Type="http://schemas.openxmlformats.org/officeDocument/2006/relationships/hyperlink" Target="http://www.henontech.com/fieldsafety/harzard/harzard_show.php?rid=1466&amp;url=harzardrecs.php" TargetMode="External"/><Relationship Id="rId_hyperlink_36" Type="http://schemas.openxmlformats.org/officeDocument/2006/relationships/hyperlink" Target="http://www.henontech.com/fieldsafety/harzard/harzard_show.php?rid=1470&amp;url=harzardrecs.php" TargetMode="External"/><Relationship Id="rId_hyperlink_37" Type="http://schemas.openxmlformats.org/officeDocument/2006/relationships/hyperlink" Target="http://www.henontech.com/fieldsafety/harzard/harzard_show.php?rid=1471&amp;url=harzardrecs.php" TargetMode="External"/><Relationship Id="rId_hyperlink_38" Type="http://schemas.openxmlformats.org/officeDocument/2006/relationships/hyperlink" Target="http://www.henontech.com/fieldsafety/harzard/harzard_show.php?rid=1476&amp;url=harzardrecs.php" TargetMode="External"/><Relationship Id="rId_hyperlink_39" Type="http://schemas.openxmlformats.org/officeDocument/2006/relationships/hyperlink" Target="http://www.henontech.com/fieldsafety/harzard/harzard_show.php?rid=1478&amp;url=harzardrecs.php" TargetMode="External"/><Relationship Id="rId_hyperlink_40" Type="http://schemas.openxmlformats.org/officeDocument/2006/relationships/hyperlink" Target="http://www.henontech.com/fieldsafety/harzard/harzard_show.php?rid=1479&amp;url=harzardrecs.php" TargetMode="External"/><Relationship Id="rId_hyperlink_41" Type="http://schemas.openxmlformats.org/officeDocument/2006/relationships/hyperlink" Target="http://www.henontech.com/fieldsafety/harzard/harzard_show.php?rid=1481&amp;url=harzardrecs.php" TargetMode="External"/><Relationship Id="rId_hyperlink_42" Type="http://schemas.openxmlformats.org/officeDocument/2006/relationships/hyperlink" Target="http://www.henontech.com/fieldsafety/harzard/harzard_show.php?rid=1485&amp;url=harzardrecs.php" TargetMode="External"/><Relationship Id="rId_hyperlink_43" Type="http://schemas.openxmlformats.org/officeDocument/2006/relationships/hyperlink" Target="http://www.henontech.com/fieldsafety/harzard/harzard_show.php?rid=1486&amp;url=harzardrecs.php" TargetMode="External"/><Relationship Id="rId_hyperlink_44" Type="http://schemas.openxmlformats.org/officeDocument/2006/relationships/hyperlink" Target="http://www.henontech.com/fieldsafety/harzard/harzard_show.php?rid=1491&amp;url=harzardrecs.php" TargetMode="External"/><Relationship Id="rId_hyperlink_45" Type="http://schemas.openxmlformats.org/officeDocument/2006/relationships/hyperlink" Target="http://www.henontech.com/fieldsafety/harzard/harzard_show.php?rid=1493&amp;url=harzardrecs.php" TargetMode="External"/><Relationship Id="rId_hyperlink_46" Type="http://schemas.openxmlformats.org/officeDocument/2006/relationships/hyperlink" Target="http://www.henontech.com/fieldsafety/harzard/harzard_show.php?rid=1494&amp;url=harzardrecs.php" TargetMode="External"/><Relationship Id="rId_hyperlink_47" Type="http://schemas.openxmlformats.org/officeDocument/2006/relationships/hyperlink" Target="http://www.henontech.com/fieldsafety/harzard/harzard_show.php?rid=1495&amp;url=harzardrecs.php" TargetMode="External"/><Relationship Id="rId_hyperlink_48" Type="http://schemas.openxmlformats.org/officeDocument/2006/relationships/hyperlink" Target="http://www.henontech.com/fieldsafety/harzard/harzard_show.php?rid=1496&amp;url=harzardrecs.php" TargetMode="External"/><Relationship Id="rId_hyperlink_49" Type="http://schemas.openxmlformats.org/officeDocument/2006/relationships/hyperlink" Target="http://www.henontech.com/fieldsafety/harzard/harzard_show.php?rid=1498&amp;url=harzardrecs.php" TargetMode="External"/><Relationship Id="rId_hyperlink_50" Type="http://schemas.openxmlformats.org/officeDocument/2006/relationships/hyperlink" Target="http://www.henontech.com/fieldsafety/harzard/harzard_show.php?rid=1499&amp;url=harzardrecs.php" TargetMode="External"/><Relationship Id="rId_hyperlink_51" Type="http://schemas.openxmlformats.org/officeDocument/2006/relationships/hyperlink" Target="http://www.henontech.com/fieldsafety/harzard/harzard_show.php?rid=1500&amp;url=harzardrecs.php" TargetMode="External"/><Relationship Id="rId_hyperlink_52" Type="http://schemas.openxmlformats.org/officeDocument/2006/relationships/hyperlink" Target="http://www.henontech.com/fieldsafety/harzard/harzard_show.php?rid=1501&amp;url=harzardrecs.php" TargetMode="External"/><Relationship Id="rId_hyperlink_53" Type="http://schemas.openxmlformats.org/officeDocument/2006/relationships/hyperlink" Target="http://www.henontech.com/fieldsafety/harzard/harzard_show.php?rid=1503&amp;url=harzardrecs.php" TargetMode="External"/><Relationship Id="rId_hyperlink_54" Type="http://schemas.openxmlformats.org/officeDocument/2006/relationships/hyperlink" Target="http://www.henontech.com/fieldsafety/harzard/harzard_show.php?rid=1504&amp;url=harzardrecs.php" TargetMode="External"/><Relationship Id="rId_hyperlink_55" Type="http://schemas.openxmlformats.org/officeDocument/2006/relationships/hyperlink" Target="http://www.henontech.com/fieldsafety/harzard/harzard_show.php?rid=1504&amp;url=harzardrecs.php" TargetMode="External"/><Relationship Id="rId_hyperlink_56" Type="http://schemas.openxmlformats.org/officeDocument/2006/relationships/hyperlink" Target="http://www.henontech.com/fieldsafety/harzard/harzard_show.php?rid=1505&amp;url=harzardrecs.php" TargetMode="External"/><Relationship Id="rId_hyperlink_57" Type="http://schemas.openxmlformats.org/officeDocument/2006/relationships/hyperlink" Target="http://www.henontech.com/fieldsafety/harzard/harzard_show.php?rid=1506&amp;url=harzardrecs.php" TargetMode="External"/><Relationship Id="rId_hyperlink_58" Type="http://schemas.openxmlformats.org/officeDocument/2006/relationships/hyperlink" Target="http://www.henontech.com/fieldsafety/harzard/harzard_show.php?rid=1507&amp;url=harzardrecs.php" TargetMode="External"/><Relationship Id="rId_hyperlink_59" Type="http://schemas.openxmlformats.org/officeDocument/2006/relationships/hyperlink" Target="http://www.henontech.com/fieldsafety/harzard/harzard_show.php?rid=1510&amp;url=harzardrecs.php" TargetMode="External"/><Relationship Id="rId_hyperlink_60" Type="http://schemas.openxmlformats.org/officeDocument/2006/relationships/hyperlink" Target="http://www.henontech.com/fieldsafety/harzard/harzard_show.php?rid=1512&amp;url=harzardrecs.php" TargetMode="External"/><Relationship Id="rId_hyperlink_61" Type="http://schemas.openxmlformats.org/officeDocument/2006/relationships/hyperlink" Target="http://www.henontech.com/fieldsafety/harzard/harzard_show.php?rid=1513&amp;url=harzardrecs.php" TargetMode="External"/><Relationship Id="rId_hyperlink_62" Type="http://schemas.openxmlformats.org/officeDocument/2006/relationships/hyperlink" Target="http://www.henontech.com/fieldsafety/harzard/harzard_show.php?rid=1514&amp;url=harzardrecs.php" TargetMode="External"/><Relationship Id="rId_hyperlink_63" Type="http://schemas.openxmlformats.org/officeDocument/2006/relationships/hyperlink" Target="http://www.henontech.com/fieldsafety/harzard/harzard_show.php?rid=1515&amp;url=harzardrecs.php" TargetMode="External"/><Relationship Id="rId_hyperlink_64" Type="http://schemas.openxmlformats.org/officeDocument/2006/relationships/hyperlink" Target="http://www.henontech.com/fieldsafety/harzard/harzard_show.php?rid=1516&amp;url=harzardrecs.php" TargetMode="External"/><Relationship Id="rId_hyperlink_65" Type="http://schemas.openxmlformats.org/officeDocument/2006/relationships/hyperlink" Target="http://www.henontech.com/fieldsafety/harzard/harzard_show.php?rid=1517&amp;url=harzardrecs.php" TargetMode="External"/><Relationship Id="rId_hyperlink_66" Type="http://schemas.openxmlformats.org/officeDocument/2006/relationships/hyperlink" Target="http://www.henontech.com/fieldsafety/harzard/harzard_show.php?rid=1520&amp;url=harzardrecs.php" TargetMode="External"/><Relationship Id="rId_hyperlink_67" Type="http://schemas.openxmlformats.org/officeDocument/2006/relationships/hyperlink" Target="http://www.henontech.com/fieldsafety/harzard/harzard_show.php?rid=1522&amp;url=harzardrecs.php" TargetMode="External"/><Relationship Id="rId_hyperlink_68" Type="http://schemas.openxmlformats.org/officeDocument/2006/relationships/hyperlink" Target="http://www.henontech.com/fieldsafety/harzard/harzard_show.php?rid=1524&amp;url=harzardrecs.php" TargetMode="External"/><Relationship Id="rId_hyperlink_69" Type="http://schemas.openxmlformats.org/officeDocument/2006/relationships/hyperlink" Target="http://www.henontech.com/fieldsafety/harzard/harzard_show.php?rid=1525&amp;url=harzardrecs.php" TargetMode="External"/><Relationship Id="rId_hyperlink_70" Type="http://schemas.openxmlformats.org/officeDocument/2006/relationships/hyperlink" Target="http://www.henontech.com/fieldsafety/harzard/harzard_show.php?rid=1526&amp;url=harzardrecs.php" TargetMode="External"/><Relationship Id="rId_hyperlink_71" Type="http://schemas.openxmlformats.org/officeDocument/2006/relationships/hyperlink" Target="http://www.henontech.com/fieldsafety/harzard/harzard_show.php?rid=1527&amp;url=harzardrecs.php" TargetMode="External"/><Relationship Id="rId_hyperlink_72" Type="http://schemas.openxmlformats.org/officeDocument/2006/relationships/hyperlink" Target="http://www.henontech.com/fieldsafety/harzard/harzard_show.php?rid=1529&amp;url=harzardrecs.php" TargetMode="External"/><Relationship Id="rId_hyperlink_73" Type="http://schemas.openxmlformats.org/officeDocument/2006/relationships/hyperlink" Target="http://www.henontech.com/fieldsafety/harzard/harzard_show.php?rid=1530&amp;url=harzardrecs.php" TargetMode="External"/><Relationship Id="rId_hyperlink_74" Type="http://schemas.openxmlformats.org/officeDocument/2006/relationships/hyperlink" Target="http://www.henontech.com/fieldsafety/harzard/harzard_show.php?rid=1531&amp;url=harzardrecs.php" TargetMode="External"/><Relationship Id="rId_hyperlink_75" Type="http://schemas.openxmlformats.org/officeDocument/2006/relationships/hyperlink" Target="http://www.henontech.com/fieldsafety/harzard/harzard_show.php?rid=1532&amp;url=harzardrecs.php" TargetMode="External"/><Relationship Id="rId_hyperlink_76" Type="http://schemas.openxmlformats.org/officeDocument/2006/relationships/hyperlink" Target="http://www.henontech.com/fieldsafety/harzard/harzard_show.php?rid=1533&amp;url=harzardrecs.php" TargetMode="External"/><Relationship Id="rId_hyperlink_77" Type="http://schemas.openxmlformats.org/officeDocument/2006/relationships/hyperlink" Target="http://www.henontech.com/fieldsafety/harzard/harzard_show.php?rid=1534&amp;url=harzardrecs.php" TargetMode="External"/><Relationship Id="rId_hyperlink_78" Type="http://schemas.openxmlformats.org/officeDocument/2006/relationships/hyperlink" Target="http://www.henontech.com/fieldsafety/harzard/harzard_show.php?rid=1537&amp;url=harzardrecs.php" TargetMode="External"/><Relationship Id="rId_hyperlink_79" Type="http://schemas.openxmlformats.org/officeDocument/2006/relationships/hyperlink" Target="http://www.henontech.com/fieldsafety/harzard/harzard_show.php?rid=1538&amp;url=harzardrecs.php" TargetMode="External"/><Relationship Id="rId_hyperlink_80" Type="http://schemas.openxmlformats.org/officeDocument/2006/relationships/hyperlink" Target="http://www.henontech.com/fieldsafety/harzard/harzard_show.php?rid=1539&amp;url=harzardrecs.php" TargetMode="External"/><Relationship Id="rId_hyperlink_81" Type="http://schemas.openxmlformats.org/officeDocument/2006/relationships/hyperlink" Target="http://www.henontech.com/fieldsafety/harzard/harzard_show.php?rid=1540&amp;url=harzardrecs.php" TargetMode="External"/><Relationship Id="rId_hyperlink_82" Type="http://schemas.openxmlformats.org/officeDocument/2006/relationships/hyperlink" Target="http://www.henontech.com/fieldsafety/harzard/harzard_show.php?rid=1541&amp;url=harzardrecs.php" TargetMode="External"/><Relationship Id="rId_hyperlink_83" Type="http://schemas.openxmlformats.org/officeDocument/2006/relationships/hyperlink" Target="http://www.henontech.com/fieldsafety/harzard/harzard_show.php?rid=1542&amp;url=harzardrecs.php" TargetMode="External"/><Relationship Id="rId_hyperlink_84" Type="http://schemas.openxmlformats.org/officeDocument/2006/relationships/hyperlink" Target="http://www.henontech.com/fieldsafety/harzard/harzard_show.php?rid=1543&amp;url=harzardrecs.php" TargetMode="External"/><Relationship Id="rId_hyperlink_85" Type="http://schemas.openxmlformats.org/officeDocument/2006/relationships/hyperlink" Target="http://www.henontech.com/fieldsafety/harzard/harzard_show.php?rid=1545&amp;url=harzardrecs.php" TargetMode="External"/><Relationship Id="rId_hyperlink_86" Type="http://schemas.openxmlformats.org/officeDocument/2006/relationships/hyperlink" Target="http://www.henontech.com/fieldsafety/harzard/harzard_show.php?rid=1546&amp;url=harzardrecs.php" TargetMode="External"/><Relationship Id="rId_hyperlink_87" Type="http://schemas.openxmlformats.org/officeDocument/2006/relationships/hyperlink" Target="http://www.henontech.com/fieldsafety/harzard/harzard_show.php?rid=1547&amp;url=harzardrecs.php" TargetMode="External"/><Relationship Id="rId_hyperlink_88" Type="http://schemas.openxmlformats.org/officeDocument/2006/relationships/hyperlink" Target="http://www.henontech.com/fieldsafety/harzard/harzard_show.php?rid=1548&amp;url=harzardrecs.php" TargetMode="External"/><Relationship Id="rId_hyperlink_89" Type="http://schemas.openxmlformats.org/officeDocument/2006/relationships/hyperlink" Target="http://www.henontech.com/fieldsafety/harzard/harzard_show.php?rid=1550&amp;url=harzardrecs.php" TargetMode="External"/><Relationship Id="rId_hyperlink_90" Type="http://schemas.openxmlformats.org/officeDocument/2006/relationships/hyperlink" Target="http://www.henontech.com/fieldsafety/harzard/harzard_show.php?rid=1551&amp;url=harzardrecs.php" TargetMode="External"/><Relationship Id="rId_hyperlink_91" Type="http://schemas.openxmlformats.org/officeDocument/2006/relationships/hyperlink" Target="http://www.henontech.com/fieldsafety/harzard/harzard_show.php?rid=1552&amp;url=harzardrecs.php" TargetMode="External"/><Relationship Id="rId_hyperlink_92" Type="http://schemas.openxmlformats.org/officeDocument/2006/relationships/hyperlink" Target="http://www.henontech.com/fieldsafety/harzard/harzard_show.php?rid=1554&amp;url=harzardrecs.php" TargetMode="External"/><Relationship Id="rId_hyperlink_93" Type="http://schemas.openxmlformats.org/officeDocument/2006/relationships/hyperlink" Target="http://www.henontech.com/fieldsafety/harzard/harzard_show.php?rid=1556&amp;url=harzardrecs.php" TargetMode="External"/><Relationship Id="rId_hyperlink_94" Type="http://schemas.openxmlformats.org/officeDocument/2006/relationships/hyperlink" Target="http://www.henontech.com/fieldsafety/harzard/harzard_show.php?rid=1557&amp;url=harzardrecs.php" TargetMode="External"/><Relationship Id="rId_hyperlink_95" Type="http://schemas.openxmlformats.org/officeDocument/2006/relationships/hyperlink" Target="http://www.henontech.com/fieldsafety/harzard/harzard_show.php?rid=1558&amp;url=harzardrecs.php" TargetMode="External"/><Relationship Id="rId_hyperlink_96" Type="http://schemas.openxmlformats.org/officeDocument/2006/relationships/hyperlink" Target="http://www.henontech.com/fieldsafety/harzard/harzard_show.php?rid=1559&amp;url=harzardrecs.php" TargetMode="External"/><Relationship Id="rId_hyperlink_97" Type="http://schemas.openxmlformats.org/officeDocument/2006/relationships/hyperlink" Target="http://www.henontech.com/fieldsafety/harzard/harzard_show.php?rid=1560&amp;url=harzardrecs.php" TargetMode="External"/><Relationship Id="rId_hyperlink_98" Type="http://schemas.openxmlformats.org/officeDocument/2006/relationships/hyperlink" Target="http://www.henontech.com/fieldsafety/harzard/harzard_show.php?rid=1564&amp;url=harzardrecs.php" TargetMode="External"/><Relationship Id="rId_hyperlink_99" Type="http://schemas.openxmlformats.org/officeDocument/2006/relationships/hyperlink" Target="http://www.henontech.com/fieldsafety/harzard/harzard_show.php?rid=1565&amp;url=harzardrecs.php" TargetMode="External"/><Relationship Id="rId_hyperlink_100" Type="http://schemas.openxmlformats.org/officeDocument/2006/relationships/hyperlink" Target="http://www.henontech.com/fieldsafety/harzard/harzard_show.php?rid=1568&amp;url=harzardrecs.php" TargetMode="External"/><Relationship Id="rId_hyperlink_101" Type="http://schemas.openxmlformats.org/officeDocument/2006/relationships/hyperlink" Target="http://www.henontech.com/fieldsafety/harzard/harzard_show.php?rid=1569&amp;url=harzardrecs.php" TargetMode="External"/><Relationship Id="rId_hyperlink_102" Type="http://schemas.openxmlformats.org/officeDocument/2006/relationships/hyperlink" Target="http://www.henontech.com/fieldsafety/harzard/harzard_show.php?rid=1570&amp;url=harzardrecs.php" TargetMode="External"/><Relationship Id="rId_hyperlink_103" Type="http://schemas.openxmlformats.org/officeDocument/2006/relationships/hyperlink" Target="http://www.henontech.com/fieldsafety/harzard/harzard_show.php?rid=1571&amp;url=harzardrecs.php" TargetMode="External"/><Relationship Id="rId_hyperlink_104" Type="http://schemas.openxmlformats.org/officeDocument/2006/relationships/hyperlink" Target="http://www.henontech.com/fieldsafety/harzard/harzard_show.php?rid=1572&amp;url=harzardrecs.php" TargetMode="External"/><Relationship Id="rId_hyperlink_105" Type="http://schemas.openxmlformats.org/officeDocument/2006/relationships/hyperlink" Target="http://www.henontech.com/fieldsafety/harzard/harzard_show.php?rid=1573&amp;url=harzardrecs.php" TargetMode="External"/><Relationship Id="rId_hyperlink_106" Type="http://schemas.openxmlformats.org/officeDocument/2006/relationships/hyperlink" Target="http://www.henontech.com/fieldsafety/harzard/harzard_show.php?rid=1574&amp;url=harzardrecs.php" TargetMode="External"/><Relationship Id="rId_hyperlink_107" Type="http://schemas.openxmlformats.org/officeDocument/2006/relationships/hyperlink" Target="http://www.henontech.com/fieldsafety/harzard/harzard_show.php?rid=1575&amp;url=harzardrecs.php" TargetMode="External"/><Relationship Id="rId_hyperlink_108" Type="http://schemas.openxmlformats.org/officeDocument/2006/relationships/hyperlink" Target="http://www.henontech.com/fieldsafety/harzard/harzard_show.php?rid=1576&amp;url=harzardrecs.php" TargetMode="External"/><Relationship Id="rId_hyperlink_109" Type="http://schemas.openxmlformats.org/officeDocument/2006/relationships/hyperlink" Target="http://www.henontech.com/fieldsafety/harzard/harzard_show.php?rid=1577&amp;url=harzardrecs.php" TargetMode="External"/><Relationship Id="rId_hyperlink_110" Type="http://schemas.openxmlformats.org/officeDocument/2006/relationships/hyperlink" Target="http://www.henontech.com/fieldsafety/harzard/harzard_show.php?rid=1579&amp;url=harzardrecs.php" TargetMode="External"/><Relationship Id="rId_hyperlink_111" Type="http://schemas.openxmlformats.org/officeDocument/2006/relationships/hyperlink" Target="http://www.henontech.com/fieldsafety/harzard/harzard_show.php?rid=1580&amp;url=harzardrecs.php" TargetMode="External"/><Relationship Id="rId_hyperlink_112" Type="http://schemas.openxmlformats.org/officeDocument/2006/relationships/hyperlink" Target="http://www.henontech.com/fieldsafety/harzard/harzard_show.php?rid=1581&amp;url=harzardrecs.php" TargetMode="External"/><Relationship Id="rId_hyperlink_113" Type="http://schemas.openxmlformats.org/officeDocument/2006/relationships/hyperlink" Target="http://www.henontech.com/fieldsafety/harzard/harzard_show.php?rid=1584&amp;url=harzardrecs.php" TargetMode="External"/><Relationship Id="rId_hyperlink_114" Type="http://schemas.openxmlformats.org/officeDocument/2006/relationships/hyperlink" Target="http://www.henontech.com/fieldsafety/harzard/harzard_show.php?rid=1586&amp;url=harzardrecs.php" TargetMode="External"/><Relationship Id="rId_hyperlink_115" Type="http://schemas.openxmlformats.org/officeDocument/2006/relationships/hyperlink" Target="http://www.henontech.com/fieldsafety/harzard/harzard_show.php?rid=1587&amp;url=harzardrecs.php" TargetMode="External"/><Relationship Id="rId_hyperlink_116" Type="http://schemas.openxmlformats.org/officeDocument/2006/relationships/hyperlink" Target="http://www.henontech.com/fieldsafety/harzard/harzard_show.php?rid=1588&amp;url=harzardrecs.php" TargetMode="External"/><Relationship Id="rId_hyperlink_117" Type="http://schemas.openxmlformats.org/officeDocument/2006/relationships/hyperlink" Target="http://www.henontech.com/fieldsafety/harzard/harzard_show.php?rid=1590&amp;url=harzardrecs.php" TargetMode="External"/><Relationship Id="rId_hyperlink_118" Type="http://schemas.openxmlformats.org/officeDocument/2006/relationships/hyperlink" Target="http://www.henontech.com/fieldsafety/harzard/harzard_show.php?rid=1591&amp;url=harzardrecs.php" TargetMode="External"/><Relationship Id="rId_hyperlink_119" Type="http://schemas.openxmlformats.org/officeDocument/2006/relationships/hyperlink" Target="http://www.henontech.com/fieldsafety/harzard/harzard_show.php?rid=1592&amp;url=harzardrecs.php" TargetMode="External"/><Relationship Id="rId_hyperlink_120" Type="http://schemas.openxmlformats.org/officeDocument/2006/relationships/hyperlink" Target="http://www.henontech.com/fieldsafety/harzard/harzard_show.php?rid=1593&amp;url=harzardrecs.php" TargetMode="External"/><Relationship Id="rId_hyperlink_121" Type="http://schemas.openxmlformats.org/officeDocument/2006/relationships/hyperlink" Target="http://www.henontech.com/fieldsafety/harzard/harzard_show.php?rid=1594&amp;url=harzardrecs.php" TargetMode="External"/><Relationship Id="rId_hyperlink_122" Type="http://schemas.openxmlformats.org/officeDocument/2006/relationships/hyperlink" Target="http://www.henontech.com/fieldsafety/harzard/harzard_show.php?rid=1595&amp;url=harzardrecs.php" TargetMode="External"/><Relationship Id="rId_hyperlink_123" Type="http://schemas.openxmlformats.org/officeDocument/2006/relationships/hyperlink" Target="http://www.henontech.com/fieldsafety/harzard/harzard_show.php?rid=1596&amp;url=harzardrecs.php" TargetMode="External"/><Relationship Id="rId_hyperlink_124" Type="http://schemas.openxmlformats.org/officeDocument/2006/relationships/hyperlink" Target="http://www.henontech.com/fieldsafety/harzard/harzard_show.php?rid=1597&amp;url=harzardrecs.php" TargetMode="External"/><Relationship Id="rId_hyperlink_125" Type="http://schemas.openxmlformats.org/officeDocument/2006/relationships/hyperlink" Target="http://www.henontech.com/fieldsafety/harzard/harzard_show.php?rid=1598&amp;url=harzardrecs.php" TargetMode="External"/><Relationship Id="rId_hyperlink_126" Type="http://schemas.openxmlformats.org/officeDocument/2006/relationships/hyperlink" Target="http://www.henontech.com/fieldsafety/harzard/harzard_show.php?rid=1599&amp;url=harzardrecs.php" TargetMode="External"/><Relationship Id="rId_hyperlink_127" Type="http://schemas.openxmlformats.org/officeDocument/2006/relationships/hyperlink" Target="http://www.henontech.com/fieldsafety/harzard/harzard_show.php?rid=1600&amp;url=harzardrecs.php" TargetMode="External"/><Relationship Id="rId_hyperlink_128" Type="http://schemas.openxmlformats.org/officeDocument/2006/relationships/hyperlink" Target="http://www.henontech.com/fieldsafety/harzard/harzard_show.php?rid=1601&amp;url=harzardrecs.php" TargetMode="External"/><Relationship Id="rId_hyperlink_129" Type="http://schemas.openxmlformats.org/officeDocument/2006/relationships/hyperlink" Target="http://www.henontech.com/fieldsafety/harzard/harzard_show.php?rid=1602&amp;url=harzardrecs.php" TargetMode="External"/><Relationship Id="rId_hyperlink_130" Type="http://schemas.openxmlformats.org/officeDocument/2006/relationships/hyperlink" Target="http://www.henontech.com/fieldsafety/harzard/harzard_show.php?rid=1604&amp;url=harzardrecs.php" TargetMode="External"/><Relationship Id="rId_hyperlink_131" Type="http://schemas.openxmlformats.org/officeDocument/2006/relationships/hyperlink" Target="http://www.henontech.com/fieldsafety/harzard/harzard_show.php?rid=1605&amp;url=harzardrecs.php" TargetMode="External"/><Relationship Id="rId_hyperlink_132" Type="http://schemas.openxmlformats.org/officeDocument/2006/relationships/hyperlink" Target="http://www.henontech.com/fieldsafety/harzard/harzard_show.php?rid=1607&amp;url=harzardrecs.php" TargetMode="External"/><Relationship Id="rId_hyperlink_133" Type="http://schemas.openxmlformats.org/officeDocument/2006/relationships/hyperlink" Target="http://www.henontech.com/fieldsafety/harzard/harzard_show.php?rid=1608&amp;url=harzardrecs.php" TargetMode="External"/><Relationship Id="rId_hyperlink_134" Type="http://schemas.openxmlformats.org/officeDocument/2006/relationships/hyperlink" Target="http://www.henontech.com/fieldsafety/harzard/harzard_show.php?rid=1610&amp;url=harzardrecs.php" TargetMode="External"/><Relationship Id="rId_hyperlink_135" Type="http://schemas.openxmlformats.org/officeDocument/2006/relationships/hyperlink" Target="http://www.henontech.com/fieldsafety/harzard/harzard_show.php?rid=1612&amp;url=harzardrecs.php" TargetMode="External"/><Relationship Id="rId_hyperlink_136" Type="http://schemas.openxmlformats.org/officeDocument/2006/relationships/hyperlink" Target="http://www.henontech.com/fieldsafety/harzard/harzard_show.php?rid=1613&amp;url=harzardrecs.php" TargetMode="External"/><Relationship Id="rId_hyperlink_137" Type="http://schemas.openxmlformats.org/officeDocument/2006/relationships/hyperlink" Target="http://www.henontech.com/fieldsafety/harzard/harzard_show.php?rid=1614&amp;url=harzardrecs.php" TargetMode="External"/><Relationship Id="rId_hyperlink_138" Type="http://schemas.openxmlformats.org/officeDocument/2006/relationships/hyperlink" Target="http://www.henontech.com/fieldsafety/harzard/harzard_show.php?rid=1615&amp;url=harzardrecs.php" TargetMode="External"/><Relationship Id="rId_hyperlink_139" Type="http://schemas.openxmlformats.org/officeDocument/2006/relationships/hyperlink" Target="http://www.henontech.com/fieldsafety/harzard/harzard_show.php?rid=1616&amp;url=harzardrecs.php" TargetMode="External"/><Relationship Id="rId_hyperlink_140" Type="http://schemas.openxmlformats.org/officeDocument/2006/relationships/hyperlink" Target="http://www.henontech.com/fieldsafety/harzard/harzard_show.php?rid=1617&amp;url=harzardrecs.php" TargetMode="External"/><Relationship Id="rId_hyperlink_141" Type="http://schemas.openxmlformats.org/officeDocument/2006/relationships/hyperlink" Target="http://www.henontech.com/fieldsafety/harzard/harzard_show.php?rid=1621&amp;url=harzardrecs.php" TargetMode="External"/><Relationship Id="rId_hyperlink_142" Type="http://schemas.openxmlformats.org/officeDocument/2006/relationships/hyperlink" Target="http://www.henontech.com/fieldsafety/harzard/harzard_show.php?rid=1622&amp;url=harzardrecs.php" TargetMode="External"/><Relationship Id="rId_hyperlink_143" Type="http://schemas.openxmlformats.org/officeDocument/2006/relationships/hyperlink" Target="http://www.henontech.com/fieldsafety/harzard/harzard_show.php?rid=1623&amp;url=harzardrecs.php" TargetMode="External"/><Relationship Id="rId_hyperlink_144" Type="http://schemas.openxmlformats.org/officeDocument/2006/relationships/hyperlink" Target="http://www.henontech.com/fieldsafety/harzard/harzard_show.php?rid=1624&amp;url=harzardrecs.php" TargetMode="External"/><Relationship Id="rId_hyperlink_145" Type="http://schemas.openxmlformats.org/officeDocument/2006/relationships/hyperlink" Target="http://www.henontech.com/fieldsafety/harzard/harzard_show.php?rid=1625&amp;url=harzardrecs.php" TargetMode="External"/><Relationship Id="rId_hyperlink_146" Type="http://schemas.openxmlformats.org/officeDocument/2006/relationships/hyperlink" Target="http://www.henontech.com/fieldsafety/harzard/harzard_show.php?rid=1626&amp;url=harzardrecs.php" TargetMode="External"/><Relationship Id="rId_hyperlink_147" Type="http://schemas.openxmlformats.org/officeDocument/2006/relationships/hyperlink" Target="http://www.henontech.com/fieldsafety/harzard/harzard_show.php?rid=1627&amp;url=harzardrecs.php" TargetMode="External"/><Relationship Id="rId_hyperlink_148" Type="http://schemas.openxmlformats.org/officeDocument/2006/relationships/hyperlink" Target="http://www.henontech.com/fieldsafety/harzard/harzard_show.php?rid=1628&amp;url=harzardrecs.php" TargetMode="External"/><Relationship Id="rId_hyperlink_149" Type="http://schemas.openxmlformats.org/officeDocument/2006/relationships/hyperlink" Target="http://www.henontech.com/fieldsafety/harzard/harzard_show.php?rid=1629&amp;url=harzardrecs.php" TargetMode="External"/><Relationship Id="rId_hyperlink_150" Type="http://schemas.openxmlformats.org/officeDocument/2006/relationships/hyperlink" Target="http://www.henontech.com/fieldsafety/harzard/harzard_show.php?rid=1630&amp;url=harzardrecs.php" TargetMode="External"/><Relationship Id="rId_hyperlink_151" Type="http://schemas.openxmlformats.org/officeDocument/2006/relationships/hyperlink" Target="http://www.henontech.com/fieldsafety/harzard/harzard_show.php?rid=1631&amp;url=harzardrecs.php" TargetMode="External"/><Relationship Id="rId_hyperlink_152" Type="http://schemas.openxmlformats.org/officeDocument/2006/relationships/hyperlink" Target="http://www.henontech.com/fieldsafety/harzard/harzard_show.php?rid=1632&amp;url=harzardrecs.php" TargetMode="External"/><Relationship Id="rId_hyperlink_153" Type="http://schemas.openxmlformats.org/officeDocument/2006/relationships/hyperlink" Target="http://www.henontech.com/fieldsafety/harzard/harzard_show.php?rid=1633&amp;url=harzardrecs.php" TargetMode="External"/><Relationship Id="rId_hyperlink_154" Type="http://schemas.openxmlformats.org/officeDocument/2006/relationships/hyperlink" Target="http://www.henontech.com/fieldsafety/harzard/harzard_show.php?rid=1634&amp;url=harzardrecs.php" TargetMode="External"/><Relationship Id="rId_hyperlink_155" Type="http://schemas.openxmlformats.org/officeDocument/2006/relationships/hyperlink" Target="http://www.henontech.com/fieldsafety/harzard/harzard_show.php?rid=1635&amp;url=harzardrecs.php" TargetMode="External"/><Relationship Id="rId_hyperlink_156" Type="http://schemas.openxmlformats.org/officeDocument/2006/relationships/hyperlink" Target="http://www.henontech.com/fieldsafety/harzard/harzard_show.php?rid=1635&amp;url=harzardrecs.php" TargetMode="External"/><Relationship Id="rId_hyperlink_157" Type="http://schemas.openxmlformats.org/officeDocument/2006/relationships/hyperlink" Target="http://www.henontech.com/fieldsafety/harzard/harzard_show.php?rid=1636&amp;url=harzardrecs.php" TargetMode="External"/><Relationship Id="rId_hyperlink_158" Type="http://schemas.openxmlformats.org/officeDocument/2006/relationships/hyperlink" Target="http://www.henontech.com/fieldsafety/harzard/harzard_show.php?rid=1638&amp;url=harzardrecs.php" TargetMode="External"/><Relationship Id="rId_hyperlink_159" Type="http://schemas.openxmlformats.org/officeDocument/2006/relationships/hyperlink" Target="http://www.henontech.com/fieldsafety/harzard/harzard_show.php?rid=1642&amp;url=harzardrecs.php" TargetMode="External"/><Relationship Id="rId_hyperlink_160" Type="http://schemas.openxmlformats.org/officeDocument/2006/relationships/hyperlink" Target="http://www.henontech.com/fieldsafety/harzard/harzard_show.php?rid=1643&amp;url=harzardrecs.php" TargetMode="External"/><Relationship Id="rId_hyperlink_161" Type="http://schemas.openxmlformats.org/officeDocument/2006/relationships/hyperlink" Target="http://www.henontech.com/fieldsafety/harzard/harzard_show.php?rid=1644&amp;url=harzardrecs.php" TargetMode="External"/><Relationship Id="rId_hyperlink_162" Type="http://schemas.openxmlformats.org/officeDocument/2006/relationships/hyperlink" Target="http://www.henontech.com/fieldsafety/harzard/harzard_show.php?rid=1646&amp;url=harzardrecs.php" TargetMode="External"/><Relationship Id="rId_hyperlink_163" Type="http://schemas.openxmlformats.org/officeDocument/2006/relationships/hyperlink" Target="http://www.henontech.com/fieldsafety/harzard/harzard_show.php?rid=1647&amp;url=harzardrecs.php" TargetMode="External"/><Relationship Id="rId_hyperlink_164" Type="http://schemas.openxmlformats.org/officeDocument/2006/relationships/hyperlink" Target="http://www.henontech.com/fieldsafety/harzard/harzard_show.php?rid=1648&amp;url=harzardrecs.php" TargetMode="External"/><Relationship Id="rId_hyperlink_165" Type="http://schemas.openxmlformats.org/officeDocument/2006/relationships/hyperlink" Target="http://www.henontech.com/fieldsafety/harzard/harzard_show.php?rid=1650&amp;url=harzardrecs.php" TargetMode="External"/><Relationship Id="rId_hyperlink_166" Type="http://schemas.openxmlformats.org/officeDocument/2006/relationships/hyperlink" Target="http://www.henontech.com/fieldsafety/harzard/harzard_show.php?rid=1651&amp;url=harzardrecs.php" TargetMode="External"/><Relationship Id="rId_hyperlink_167" Type="http://schemas.openxmlformats.org/officeDocument/2006/relationships/hyperlink" Target="http://www.henontech.com/fieldsafety/harzard/harzard_show.php?rid=1652&amp;url=harzardrecs.php" TargetMode="External"/><Relationship Id="rId_hyperlink_168" Type="http://schemas.openxmlformats.org/officeDocument/2006/relationships/hyperlink" Target="http://www.henontech.com/fieldsafety/harzard/harzard_show.php?rid=1653&amp;url=harzardrecs.php" TargetMode="External"/><Relationship Id="rId_hyperlink_169" Type="http://schemas.openxmlformats.org/officeDocument/2006/relationships/hyperlink" Target="http://www.henontech.com/fieldsafety/harzard/harzard_show.php?rid=1656&amp;url=harzardrecs.php" TargetMode="External"/><Relationship Id="rId_hyperlink_170" Type="http://schemas.openxmlformats.org/officeDocument/2006/relationships/hyperlink" Target="http://www.henontech.com/fieldsafety/harzard/harzard_show.php?rid=1657&amp;url=harzardrecs.php" TargetMode="External"/><Relationship Id="rId_hyperlink_171" Type="http://schemas.openxmlformats.org/officeDocument/2006/relationships/hyperlink" Target="http://www.henontech.com/fieldsafety/harzard/harzard_show.php?rid=1658&amp;url=harzardrecs.php" TargetMode="External"/><Relationship Id="rId_hyperlink_172" Type="http://schemas.openxmlformats.org/officeDocument/2006/relationships/hyperlink" Target="http://www.henontech.com/fieldsafety/harzard/harzard_show.php?rid=1660&amp;url=harzardrecs.php" TargetMode="External"/><Relationship Id="rId_hyperlink_173" Type="http://schemas.openxmlformats.org/officeDocument/2006/relationships/hyperlink" Target="http://www.henontech.com/fieldsafety/harzard/harzard_show.php?rid=1661&amp;url=harzardrecs.php" TargetMode="External"/><Relationship Id="rId_hyperlink_174" Type="http://schemas.openxmlformats.org/officeDocument/2006/relationships/hyperlink" Target="http://www.henontech.com/fieldsafety/harzard/harzard_show.php?rid=1665&amp;url=harzardrecs.php" TargetMode="External"/><Relationship Id="rId_hyperlink_175" Type="http://schemas.openxmlformats.org/officeDocument/2006/relationships/hyperlink" Target="http://www.henontech.com/fieldsafety/harzard/harzard_show.php?rid=1676&amp;url=harzardrecs.php" TargetMode="External"/><Relationship Id="rId_hyperlink_176" Type="http://schemas.openxmlformats.org/officeDocument/2006/relationships/hyperlink" Target="http://www.henontech.com/fieldsafety/harzard/harzard_show.php?rid=1677&amp;url=harzardrecs.php" TargetMode="External"/><Relationship Id="rId_hyperlink_177" Type="http://schemas.openxmlformats.org/officeDocument/2006/relationships/hyperlink" Target="http://www.henontech.com/fieldsafety/harzard/harzard_show.php?rid=1681&amp;url=harzardrecs.php" TargetMode="External"/><Relationship Id="rId_hyperlink_178" Type="http://schemas.openxmlformats.org/officeDocument/2006/relationships/hyperlink" Target="http://www.henontech.com/fieldsafety/harzard/harzard_show.php?rid=1683&amp;url=harzardrecs.php" TargetMode="External"/><Relationship Id="rId_hyperlink_179" Type="http://schemas.openxmlformats.org/officeDocument/2006/relationships/hyperlink" Target="http://www.henontech.com/fieldsafety/harzard/harzard_show.php?rid=1684&amp;url=harzardrecs.php" TargetMode="External"/><Relationship Id="rId_hyperlink_180" Type="http://schemas.openxmlformats.org/officeDocument/2006/relationships/hyperlink" Target="http://www.henontech.com/fieldsafety/harzard/harzard_show.php?rid=1690&amp;url=harzardrecs.php" TargetMode="External"/><Relationship Id="rId_hyperlink_181" Type="http://schemas.openxmlformats.org/officeDocument/2006/relationships/hyperlink" Target="http://www.henontech.com/fieldsafety/harzard/harzard_show.php?rid=1691&amp;url=harzardrecs.php" TargetMode="External"/><Relationship Id="rId_hyperlink_182" Type="http://schemas.openxmlformats.org/officeDocument/2006/relationships/hyperlink" Target="http://www.henontech.com/fieldsafety/harzard/harzard_show.php?rid=1692&amp;url=harzardrecs.php" TargetMode="External"/><Relationship Id="rId_hyperlink_183" Type="http://schemas.openxmlformats.org/officeDocument/2006/relationships/hyperlink" Target="http://www.henontech.com/fieldsafety/harzard/harzard_show.php?rid=1693&amp;url=harzardrecs.php" TargetMode="External"/><Relationship Id="rId_hyperlink_184" Type="http://schemas.openxmlformats.org/officeDocument/2006/relationships/hyperlink" Target="http://www.henontech.com/fieldsafety/harzard/harzard_show.php?rid=1694&amp;url=harzardrecs.php" TargetMode="External"/><Relationship Id="rId_hyperlink_185" Type="http://schemas.openxmlformats.org/officeDocument/2006/relationships/hyperlink" Target="http://www.henontech.com/fieldsafety/harzard/harzard_show.php?rid=1695&amp;url=harzardrecs.php" TargetMode="External"/><Relationship Id="rId_hyperlink_186" Type="http://schemas.openxmlformats.org/officeDocument/2006/relationships/hyperlink" Target="http://www.henontech.com/fieldsafety/harzard/harzard_show.php?rid=1696&amp;url=harzardrecs.php" TargetMode="External"/><Relationship Id="rId_hyperlink_187" Type="http://schemas.openxmlformats.org/officeDocument/2006/relationships/hyperlink" Target="http://www.henontech.com/fieldsafety/harzard/harzard_show.php?rid=1697&amp;url=harzardrecs.php" TargetMode="External"/><Relationship Id="rId_hyperlink_188" Type="http://schemas.openxmlformats.org/officeDocument/2006/relationships/hyperlink" Target="http://www.henontech.com/fieldsafety/harzard/harzard_show.php?rid=1698&amp;url=harzardrecs.php" TargetMode="External"/><Relationship Id="rId_hyperlink_189" Type="http://schemas.openxmlformats.org/officeDocument/2006/relationships/hyperlink" Target="http://www.henontech.com/fieldsafety/harzard/harzard_show.php?rid=1699&amp;url=harzardrecs.php" TargetMode="External"/><Relationship Id="rId_hyperlink_190" Type="http://schemas.openxmlformats.org/officeDocument/2006/relationships/hyperlink" Target="http://www.henontech.com/fieldsafety/harzard/harzard_show.php?rid=1700&amp;url=harzardrecs.php" TargetMode="External"/><Relationship Id="rId_hyperlink_191" Type="http://schemas.openxmlformats.org/officeDocument/2006/relationships/hyperlink" Target="http://www.henontech.com/fieldsafety/harzard/harzard_show.php?rid=1701&amp;url=harzardrecs.php" TargetMode="External"/><Relationship Id="rId_hyperlink_192" Type="http://schemas.openxmlformats.org/officeDocument/2006/relationships/hyperlink" Target="http://www.henontech.com/fieldsafety/harzard/harzard_show.php?rid=1702&amp;url=harzardrecs.php" TargetMode="External"/><Relationship Id="rId_hyperlink_193" Type="http://schemas.openxmlformats.org/officeDocument/2006/relationships/hyperlink" Target="http://www.henontech.com/fieldsafety/harzard/harzard_show.php?rid=1703&amp;url=harzardrecs.php" TargetMode="External"/><Relationship Id="rId_hyperlink_194" Type="http://schemas.openxmlformats.org/officeDocument/2006/relationships/hyperlink" Target="http://www.henontech.com/fieldsafety/harzard/harzard_show.php?rid=1704&amp;url=harzardrecs.php" TargetMode="External"/><Relationship Id="rId_hyperlink_195" Type="http://schemas.openxmlformats.org/officeDocument/2006/relationships/hyperlink" Target="http://www.henontech.com/fieldsafety/harzard/harzard_show.php?rid=1705&amp;url=harzardrecs.php" TargetMode="External"/><Relationship Id="rId_hyperlink_196" Type="http://schemas.openxmlformats.org/officeDocument/2006/relationships/hyperlink" Target="http://www.henontech.com/fieldsafety/harzard/harzard_show.php?rid=1709&amp;url=harzardrecs.php" TargetMode="External"/><Relationship Id="rId_hyperlink_197" Type="http://schemas.openxmlformats.org/officeDocument/2006/relationships/hyperlink" Target="http://www.henontech.com/fieldsafety/harzard/harzard_show.php?rid=1710&amp;url=harzardrecs.php" TargetMode="External"/><Relationship Id="rId_hyperlink_198" Type="http://schemas.openxmlformats.org/officeDocument/2006/relationships/hyperlink" Target="http://www.henontech.com/fieldsafety/harzard/harzard_show.php?rid=1711&amp;url=harzardrecs.php" TargetMode="External"/><Relationship Id="rId_hyperlink_199" Type="http://schemas.openxmlformats.org/officeDocument/2006/relationships/hyperlink" Target="http://www.henontech.com/fieldsafety/harzard/harzard_show.php?rid=1712&amp;url=harzardrecs.php" TargetMode="External"/><Relationship Id="rId_hyperlink_200" Type="http://schemas.openxmlformats.org/officeDocument/2006/relationships/hyperlink" Target="http://www.henontech.com/fieldsafety/harzard/harzard_show.php?rid=1713&amp;url=harzardrecs.php" TargetMode="External"/><Relationship Id="rId_hyperlink_201" Type="http://schemas.openxmlformats.org/officeDocument/2006/relationships/hyperlink" Target="http://www.henontech.com/fieldsafety/harzard/harzard_show.php?rid=1714&amp;url=harzardrecs.php" TargetMode="External"/><Relationship Id="rId_hyperlink_202" Type="http://schemas.openxmlformats.org/officeDocument/2006/relationships/hyperlink" Target="http://www.henontech.com/fieldsafety/harzard/harzard_show.php?rid=1718&amp;url=harzardrecs.php" TargetMode="External"/><Relationship Id="rId_hyperlink_203" Type="http://schemas.openxmlformats.org/officeDocument/2006/relationships/hyperlink" Target="http://www.henontech.com/fieldsafety/harzard/harzard_show.php?rid=2536&amp;url=harzardrecs.php" TargetMode="External"/><Relationship Id="rId_hyperlink_204" Type="http://schemas.openxmlformats.org/officeDocument/2006/relationships/hyperlink" Target="http://www.henontech.com/fieldsafety/harzard/harzard_show.php?rid=2670&amp;url=harzardrecs.php" TargetMode="External"/><Relationship Id="rId_hyperlink_205" Type="http://schemas.openxmlformats.org/officeDocument/2006/relationships/hyperlink" Target="http://www.henontech.com/fieldsafety/harzard/harzard_show.php?rid=2675&amp;url=harzardrecs.php" TargetMode="External"/><Relationship Id="rId_hyperlink_206" Type="http://schemas.openxmlformats.org/officeDocument/2006/relationships/hyperlink" Target="http://www.henontech.com/fieldsafety/harzard/harzard_show.php?rid=2755&amp;url=harzardrecs.php" TargetMode="External"/><Relationship Id="rId_hyperlink_207" Type="http://schemas.openxmlformats.org/officeDocument/2006/relationships/hyperlink" Target="http://www.henontech.com/fieldsafety/harzard/harzard_show.php?rid=2816&amp;url=harzardrecs.php" TargetMode="External"/><Relationship Id="rId_hyperlink_208" Type="http://schemas.openxmlformats.org/officeDocument/2006/relationships/hyperlink" Target="http://www.henontech.com/fieldsafety/harzard/harzard_show.php?rid=2998&amp;url=harzardrecs.php" TargetMode="External"/><Relationship Id="rId_hyperlink_209" Type="http://schemas.openxmlformats.org/officeDocument/2006/relationships/hyperlink" Target="http://www.henontech.com/fieldsafety/harzard/harzard_show.php?rid=3017&amp;url=harzardrecs.php" TargetMode="External"/><Relationship Id="rId_hyperlink_210" Type="http://schemas.openxmlformats.org/officeDocument/2006/relationships/hyperlink" Target="http://www.henontech.com/fieldsafety/harzard/harzard_show.php?rid=3040&amp;url=harzardrecs.php" TargetMode="External"/><Relationship Id="rId_hyperlink_211" Type="http://schemas.openxmlformats.org/officeDocument/2006/relationships/hyperlink" Target="http://www.henontech.com/fieldsafety/harzard/harzard_show.php?rid=3072&amp;url=harzardrecs.php" TargetMode="External"/><Relationship Id="rId_hyperlink_212" Type="http://schemas.openxmlformats.org/officeDocument/2006/relationships/hyperlink" Target="http://www.henontech.com/fieldsafety/harzard/harzard_show.php?rid=3080&amp;url=harzardrecs.php" TargetMode="External"/><Relationship Id="rId_hyperlink_213" Type="http://schemas.openxmlformats.org/officeDocument/2006/relationships/hyperlink" Target="http://www.henontech.com/fieldsafety/harzard/harzard_show.php?rid=3084&amp;url=harzardrecs.php" TargetMode="External"/><Relationship Id="rId_hyperlink_214" Type="http://schemas.openxmlformats.org/officeDocument/2006/relationships/hyperlink" Target="http://www.henontech.com/fieldsafety/harzard/harzard_show.php?rid=3111&amp;url=harzardrecs.php" TargetMode="External"/><Relationship Id="rId_hyperlink_215" Type="http://schemas.openxmlformats.org/officeDocument/2006/relationships/hyperlink" Target="http://www.henontech.com/fieldsafety/harzard/harzard_show.php?rid=3115&amp;url=harzardrecs.php" TargetMode="External"/><Relationship Id="rId_hyperlink_216" Type="http://schemas.openxmlformats.org/officeDocument/2006/relationships/hyperlink" Target="http://www.henontech.com/fieldsafety/harzard/harzard_show.php?rid=3117&amp;url=harzardrecs.php" TargetMode="External"/><Relationship Id="rId_hyperlink_217" Type="http://schemas.openxmlformats.org/officeDocument/2006/relationships/hyperlink" Target="http://www.henontech.com/fieldsafety/harzard/harzard_show.php?rid=3118&amp;url=harzardrecs.php" TargetMode="External"/><Relationship Id="rId_hyperlink_218" Type="http://schemas.openxmlformats.org/officeDocument/2006/relationships/hyperlink" Target="http://www.henontech.com/fieldsafety/harzard/harzard_show.php?rid=3121&amp;url=harzardrecs.php" TargetMode="External"/><Relationship Id="rId_hyperlink_219" Type="http://schemas.openxmlformats.org/officeDocument/2006/relationships/hyperlink" Target="http://www.henontech.com/fieldsafety/harzard/harzard_show.php?rid=3130&amp;url=harzardrecs.php" TargetMode="External"/><Relationship Id="rId_hyperlink_220" Type="http://schemas.openxmlformats.org/officeDocument/2006/relationships/hyperlink" Target="http://www.henontech.com/fieldsafety/harzard/harzard_show.php?rid=3131&amp;url=harzardrecs.php" TargetMode="External"/><Relationship Id="rId_hyperlink_221" Type="http://schemas.openxmlformats.org/officeDocument/2006/relationships/hyperlink" Target="http://www.henontech.com/fieldsafety/harzard/harzard_show.php?rid=3133&amp;url=harzardrecs.php" TargetMode="External"/><Relationship Id="rId_hyperlink_222" Type="http://schemas.openxmlformats.org/officeDocument/2006/relationships/hyperlink" Target="http://www.henontech.com/fieldsafety/harzard/harzard_show.php?rid=3137&amp;url=harzardrecs.php" TargetMode="External"/><Relationship Id="rId_hyperlink_223" Type="http://schemas.openxmlformats.org/officeDocument/2006/relationships/hyperlink" Target="http://www.henontech.com/fieldsafety/harzard/harzard_show.php?rid=3159&amp;url=harzardrecs.php" TargetMode="External"/><Relationship Id="rId_hyperlink_224" Type="http://schemas.openxmlformats.org/officeDocument/2006/relationships/hyperlink" Target="http://www.henontech.com/fieldsafety/harzard/harzard_show.php?rid=3166&amp;url=harzardrecs.php" TargetMode="External"/><Relationship Id="rId_hyperlink_225" Type="http://schemas.openxmlformats.org/officeDocument/2006/relationships/hyperlink" Target="http://www.henontech.com/fieldsafety/harzard/harzard_show.php?rid=3200&amp;url=harzardrecs.php" TargetMode="External"/><Relationship Id="rId_hyperlink_226" Type="http://schemas.openxmlformats.org/officeDocument/2006/relationships/hyperlink" Target="http://www.henontech.com/fieldsafety/harzard/harzard_show.php?rid=3231&amp;url=harzardrecs.php" TargetMode="External"/><Relationship Id="rId_hyperlink_227" Type="http://schemas.openxmlformats.org/officeDocument/2006/relationships/hyperlink" Target="http://www.henontech.com/fieldsafety/harzard/harzard_show.php?rid=3237&amp;url=harzardrecs.php" TargetMode="External"/><Relationship Id="rId_hyperlink_228" Type="http://schemas.openxmlformats.org/officeDocument/2006/relationships/hyperlink" Target="http://www.henontech.com/fieldsafety/harzard/harzard_show.php?rid=3238&amp;url=harzardrecs.php" TargetMode="External"/><Relationship Id="rId_hyperlink_229" Type="http://schemas.openxmlformats.org/officeDocument/2006/relationships/hyperlink" Target="http://www.henontech.com/fieldsafety/harzard/harzard_show.php?rid=3246&amp;url=harzardrecs.php" TargetMode="External"/><Relationship Id="rId_hyperlink_230" Type="http://schemas.openxmlformats.org/officeDocument/2006/relationships/hyperlink" Target="http://www.henontech.com/fieldsafety/harzard/harzard_show.php?rid=3249&amp;url=harzardrecs.php" TargetMode="External"/><Relationship Id="rId_hyperlink_231" Type="http://schemas.openxmlformats.org/officeDocument/2006/relationships/hyperlink" Target="http://www.henontech.com/fieldsafety/harzard/harzard_show.php?rid=3255&amp;url=harzardrecs.php" TargetMode="External"/><Relationship Id="rId_hyperlink_232" Type="http://schemas.openxmlformats.org/officeDocument/2006/relationships/hyperlink" Target="http://www.henontech.com/fieldsafety/harzard/harzard_show.php?rid=3256&amp;url=harzardrecs.php" TargetMode="External"/><Relationship Id="rId_hyperlink_233" Type="http://schemas.openxmlformats.org/officeDocument/2006/relationships/hyperlink" Target="http://www.henontech.com/fieldsafety/harzard/harzard_show.php?rid=3258&amp;url=harzardrecs.php" TargetMode="External"/><Relationship Id="rId_hyperlink_234" Type="http://schemas.openxmlformats.org/officeDocument/2006/relationships/hyperlink" Target="http://www.henontech.com/fieldsafety/harzard/harzard_show.php?rid=3260&amp;url=harzardrecs.php" TargetMode="External"/><Relationship Id="rId_hyperlink_235" Type="http://schemas.openxmlformats.org/officeDocument/2006/relationships/hyperlink" Target="http://www.henontech.com/fieldsafety/harzard/harzard_show.php?rid=3269&amp;url=harzardrecs.php" TargetMode="External"/><Relationship Id="rId_hyperlink_236" Type="http://schemas.openxmlformats.org/officeDocument/2006/relationships/hyperlink" Target="http://www.henontech.com/fieldsafety/harzard/harzard_show.php?rid=3280&amp;url=harzardrecs.php" TargetMode="External"/><Relationship Id="rId_hyperlink_237" Type="http://schemas.openxmlformats.org/officeDocument/2006/relationships/hyperlink" Target="http://www.henontech.com/fieldsafety/harzard/harzard_show.php?rid=3282&amp;url=harzardrecs.php" TargetMode="External"/><Relationship Id="rId_hyperlink_238" Type="http://schemas.openxmlformats.org/officeDocument/2006/relationships/hyperlink" Target="http://www.henontech.com/fieldsafety/harzard/harzard_show.php?rid=3283&amp;url=harzardrecs.php" TargetMode="External"/><Relationship Id="rId_hyperlink_239" Type="http://schemas.openxmlformats.org/officeDocument/2006/relationships/hyperlink" Target="http://www.henontech.com/fieldsafety/harzard/harzard_show.php?rid=3284&amp;url=harzardrecs.php" TargetMode="External"/><Relationship Id="rId_hyperlink_240" Type="http://schemas.openxmlformats.org/officeDocument/2006/relationships/hyperlink" Target="http://www.henontech.com/fieldsafety/harzard/harzard_show.php?rid=3285&amp;url=harzardrecs.php" TargetMode="External"/><Relationship Id="rId_hyperlink_241" Type="http://schemas.openxmlformats.org/officeDocument/2006/relationships/hyperlink" Target="http://www.henontech.com/fieldsafety/harzard/harzard_show.php?rid=3289&amp;url=harzardrecs.php" TargetMode="External"/><Relationship Id="rId_hyperlink_242" Type="http://schemas.openxmlformats.org/officeDocument/2006/relationships/hyperlink" Target="http://www.henontech.com/fieldsafety/harzard/harzard_show.php?rid=3290&amp;url=harzardrecs.php" TargetMode="External"/><Relationship Id="rId_hyperlink_243" Type="http://schemas.openxmlformats.org/officeDocument/2006/relationships/hyperlink" Target="http://www.henontech.com/fieldsafety/harzard/harzard_show.php?rid=3291&amp;url=harzardrecs.php" TargetMode="External"/><Relationship Id="rId_hyperlink_244" Type="http://schemas.openxmlformats.org/officeDocument/2006/relationships/hyperlink" Target="http://www.henontech.com/fieldsafety/harzard/harzard_show.php?rid=3306&amp;url=harzardrecs.php" TargetMode="External"/><Relationship Id="rId_hyperlink_245" Type="http://schemas.openxmlformats.org/officeDocument/2006/relationships/hyperlink" Target="http://www.henontech.com/fieldsafety/harzard/harzard_show.php?rid=3324&amp;url=harzardrecs.php" TargetMode="External"/><Relationship Id="rId_hyperlink_246" Type="http://schemas.openxmlformats.org/officeDocument/2006/relationships/hyperlink" Target="http://www.henontech.com/fieldsafety/harzard/harzard_show.php?rid=3329&amp;url=harzardrecs.php" TargetMode="External"/><Relationship Id="rId_hyperlink_247" Type="http://schemas.openxmlformats.org/officeDocument/2006/relationships/hyperlink" Target="http://www.henontech.com/fieldsafety/harzard/harzard_show.php?rid=3331&amp;url=harzardrecs.php" TargetMode="External"/><Relationship Id="rId_hyperlink_248" Type="http://schemas.openxmlformats.org/officeDocument/2006/relationships/hyperlink" Target="http://www.henontech.com/fieldsafety/harzard/harzard_show.php?rid=3342&amp;url=harzardrecs.php" TargetMode="External"/><Relationship Id="rId_hyperlink_249" Type="http://schemas.openxmlformats.org/officeDocument/2006/relationships/hyperlink" Target="http://www.henontech.com/fieldsafety/harzard/harzard_show.php?rid=3343&amp;url=harzardrecs.php" TargetMode="External"/><Relationship Id="rId_hyperlink_250" Type="http://schemas.openxmlformats.org/officeDocument/2006/relationships/hyperlink" Target="http://www.henontech.com/fieldsafety/harzard/harzard_show.php?rid=3348&amp;url=harzardrecs.php" TargetMode="External"/><Relationship Id="rId_hyperlink_251" Type="http://schemas.openxmlformats.org/officeDocument/2006/relationships/hyperlink" Target="http://www.henontech.com/fieldsafety/harzard/harzard_show.php?rid=3361&amp;url=harzardrecs.php" TargetMode="External"/><Relationship Id="rId_hyperlink_252" Type="http://schemas.openxmlformats.org/officeDocument/2006/relationships/hyperlink" Target="http://www.henontech.com/fieldsafety/harzard/harzard_show.php?rid=3362&amp;url=harzardrecs.php" TargetMode="External"/><Relationship Id="rId_hyperlink_253" Type="http://schemas.openxmlformats.org/officeDocument/2006/relationships/hyperlink" Target="http://www.henontech.com/fieldsafety/harzard/harzard_show.php?rid=3371&amp;url=harzardrecs.php" TargetMode="External"/><Relationship Id="rId_hyperlink_254" Type="http://schemas.openxmlformats.org/officeDocument/2006/relationships/hyperlink" Target="http://www.henontech.com/fieldsafety/harzard/harzard_show.php?rid=3373&amp;url=harzardrecs.php" TargetMode="External"/><Relationship Id="rId_hyperlink_255" Type="http://schemas.openxmlformats.org/officeDocument/2006/relationships/hyperlink" Target="http://www.henontech.com/fieldsafety/harzard/harzard_show.php?rid=3374&amp;url=harzardrecs.php" TargetMode="External"/><Relationship Id="rId_hyperlink_256" Type="http://schemas.openxmlformats.org/officeDocument/2006/relationships/hyperlink" Target="http://www.henontech.com/fieldsafety/harzard/harzard_show.php?rid=3377&amp;url=harzardrecs.php" TargetMode="External"/><Relationship Id="rId_hyperlink_257" Type="http://schemas.openxmlformats.org/officeDocument/2006/relationships/hyperlink" Target="http://www.henontech.com/fieldsafety/harzard/harzard_show.php?rid=3379&amp;url=harzardrecs.php" TargetMode="External"/><Relationship Id="rId_hyperlink_258" Type="http://schemas.openxmlformats.org/officeDocument/2006/relationships/hyperlink" Target="http://www.henontech.com/fieldsafety/harzard/harzard_show.php?rid=3380&amp;url=harzardrecs.php" TargetMode="External"/><Relationship Id="rId_hyperlink_259" Type="http://schemas.openxmlformats.org/officeDocument/2006/relationships/hyperlink" Target="http://www.henontech.com/fieldsafety/harzard/harzard_show.php?rid=3381&amp;url=harzardrecs.php" TargetMode="External"/><Relationship Id="rId_hyperlink_260" Type="http://schemas.openxmlformats.org/officeDocument/2006/relationships/hyperlink" Target="http://www.henontech.com/fieldsafety/harzard/harzard_show.php?rid=3383&amp;url=harzardrecs.php" TargetMode="External"/><Relationship Id="rId_hyperlink_261" Type="http://schemas.openxmlformats.org/officeDocument/2006/relationships/hyperlink" Target="http://www.henontech.com/fieldsafety/harzard/harzard_show.php?rid=3385&amp;url=harzardrecs.php" TargetMode="External"/><Relationship Id="rId_hyperlink_262" Type="http://schemas.openxmlformats.org/officeDocument/2006/relationships/hyperlink" Target="http://www.henontech.com/fieldsafety/harzard/harzard_show.php?rid=3393&amp;url=harzardrecs.php" TargetMode="External"/><Relationship Id="rId_hyperlink_263" Type="http://schemas.openxmlformats.org/officeDocument/2006/relationships/hyperlink" Target="http://www.henontech.com/fieldsafety/harzard/harzard_show.php?rid=3396&amp;url=harzardrecs.php" TargetMode="External"/><Relationship Id="rId_hyperlink_264" Type="http://schemas.openxmlformats.org/officeDocument/2006/relationships/hyperlink" Target="http://www.henontech.com/fieldsafety/harzard/harzard_show.php?rid=3470&amp;url=harzardrecs.php" TargetMode="External"/><Relationship Id="rId_hyperlink_265" Type="http://schemas.openxmlformats.org/officeDocument/2006/relationships/hyperlink" Target="http://www.henontech.com/fieldsafety/harzard/harzard_show.php?rid=3499&amp;url=harzardrecs.php" TargetMode="External"/><Relationship Id="rId_hyperlink_266" Type="http://schemas.openxmlformats.org/officeDocument/2006/relationships/hyperlink" Target="http://www.henontech.com/fieldsafety/harzard/harzard_show.php?rid=3518&amp;url=harzardrecs.php" TargetMode="External"/><Relationship Id="rId_hyperlink_267" Type="http://schemas.openxmlformats.org/officeDocument/2006/relationships/hyperlink" Target="http://www.henontech.com/fieldsafety/harzard/harzard_show.php?rid=3542&amp;url=harzardrecs.php" TargetMode="External"/><Relationship Id="rId_hyperlink_268" Type="http://schemas.openxmlformats.org/officeDocument/2006/relationships/hyperlink" Target="http://www.henontech.com/fieldsafety/harzard/harzard_show.php?rid=3543&amp;url=harzardrecs.php" TargetMode="External"/><Relationship Id="rId_hyperlink_269" Type="http://schemas.openxmlformats.org/officeDocument/2006/relationships/hyperlink" Target="http://www.henontech.com/fieldsafety/harzard/harzard_show.php?rid=3549&amp;url=harzardrecs.php" TargetMode="External"/><Relationship Id="rId_hyperlink_270" Type="http://schemas.openxmlformats.org/officeDocument/2006/relationships/hyperlink" Target="http://www.henontech.com/fieldsafety/harzard/harzard_show.php?rid=3550&amp;url=harzardrecs.php" TargetMode="External"/><Relationship Id="rId_hyperlink_271" Type="http://schemas.openxmlformats.org/officeDocument/2006/relationships/hyperlink" Target="http://www.henontech.com/fieldsafety/harzard/harzard_show.php?rid=3562&amp;url=harzardrecs.php" TargetMode="External"/><Relationship Id="rId_hyperlink_272" Type="http://schemas.openxmlformats.org/officeDocument/2006/relationships/hyperlink" Target="http://www.henontech.com/fieldsafety/harzard/harzard_show.php?rid=3566&amp;url=harzardrecs.php" TargetMode="External"/><Relationship Id="rId_hyperlink_273" Type="http://schemas.openxmlformats.org/officeDocument/2006/relationships/hyperlink" Target="http://www.henontech.com/fieldsafety/harzard/harzard_show.php?rid=3573&amp;url=harzardrecs.php" TargetMode="External"/><Relationship Id="rId_hyperlink_274" Type="http://schemas.openxmlformats.org/officeDocument/2006/relationships/hyperlink" Target="http://www.henontech.com/fieldsafety/harzard/harzard_show.php?rid=3574&amp;url=harzardrecs.php" TargetMode="External"/><Relationship Id="rId_hyperlink_275" Type="http://schemas.openxmlformats.org/officeDocument/2006/relationships/hyperlink" Target="http://www.henontech.com/fieldsafety/harzard/harzard_show.php?rid=3576&amp;url=harzardrecs.php" TargetMode="External"/><Relationship Id="rId_hyperlink_276" Type="http://schemas.openxmlformats.org/officeDocument/2006/relationships/hyperlink" Target="http://www.henontech.com/fieldsafety/harzard/harzard_show.php?rid=3577&amp;url=harzardrecs.php" TargetMode="External"/><Relationship Id="rId_hyperlink_277" Type="http://schemas.openxmlformats.org/officeDocument/2006/relationships/hyperlink" Target="http://www.henontech.com/fieldsafety/harzard/harzard_show.php?rid=3582&amp;url=harzardrecs.php" TargetMode="External"/><Relationship Id="rId_hyperlink_278" Type="http://schemas.openxmlformats.org/officeDocument/2006/relationships/hyperlink" Target="http://www.henontech.com/fieldsafety/harzard/harzard_show.php?rid=3618&amp;url=harzardrecs.php" TargetMode="External"/><Relationship Id="rId_hyperlink_279" Type="http://schemas.openxmlformats.org/officeDocument/2006/relationships/hyperlink" Target="http://www.henontech.com/fieldsafety/harzard/harzard_show.php?rid=3624&amp;url=harzardrecs.php" TargetMode="External"/><Relationship Id="rId_hyperlink_280" Type="http://schemas.openxmlformats.org/officeDocument/2006/relationships/hyperlink" Target="http://www.henontech.com/fieldsafety/harzard/harzard_show.php?rid=3633&amp;url=harzardrecs.php" TargetMode="External"/><Relationship Id="rId_hyperlink_281" Type="http://schemas.openxmlformats.org/officeDocument/2006/relationships/hyperlink" Target="http://www.henontech.com/fieldsafety/harzard/harzard_show.php?rid=3635&amp;url=harzardrecs.php" TargetMode="External"/><Relationship Id="rId_hyperlink_282" Type="http://schemas.openxmlformats.org/officeDocument/2006/relationships/hyperlink" Target="http://www.henontech.com/fieldsafety/harzard/harzard_show.php?rid=3647&amp;url=harzardrecs.php" TargetMode="External"/><Relationship Id="rId_hyperlink_283" Type="http://schemas.openxmlformats.org/officeDocument/2006/relationships/hyperlink" Target="http://www.henontech.com/fieldsafety/harzard/harzard_show.php?rid=3666&amp;url=harzardrecs.php" TargetMode="External"/><Relationship Id="rId_hyperlink_284" Type="http://schemas.openxmlformats.org/officeDocument/2006/relationships/hyperlink" Target="http://www.henontech.com/fieldsafety/harzard/harzard_show.php?rid=3679&amp;url=harzardrecs.php" TargetMode="External"/><Relationship Id="rId_hyperlink_285" Type="http://schemas.openxmlformats.org/officeDocument/2006/relationships/hyperlink" Target="http://www.henontech.com/fieldsafety/harzard/harzard_show.php?rid=3695&amp;url=harzardrecs.php" TargetMode="External"/><Relationship Id="rId_hyperlink_286" Type="http://schemas.openxmlformats.org/officeDocument/2006/relationships/hyperlink" Target="http://www.henontech.com/fieldsafety/harzard/harzard_show.php?rid=3697&amp;url=harzardrecs.php" TargetMode="External"/><Relationship Id="rId_hyperlink_287" Type="http://schemas.openxmlformats.org/officeDocument/2006/relationships/hyperlink" Target="http://www.henontech.com/fieldsafety/harzard/harzard_show.php?rid=3703&amp;url=harzardrecs.php" TargetMode="External"/><Relationship Id="rId_hyperlink_288" Type="http://schemas.openxmlformats.org/officeDocument/2006/relationships/hyperlink" Target="http://www.henontech.com/fieldsafety/harzard/harzard_show.php?rid=3704&amp;url=harzardrecs.php" TargetMode="External"/><Relationship Id="rId_hyperlink_289" Type="http://schemas.openxmlformats.org/officeDocument/2006/relationships/hyperlink" Target="http://www.henontech.com/fieldsafety/harzard/harzard_show.php?rid=3705&amp;url=harzardrecs.php" TargetMode="External"/><Relationship Id="rId_hyperlink_290" Type="http://schemas.openxmlformats.org/officeDocument/2006/relationships/hyperlink" Target="http://www.henontech.com/fieldsafety/harzard/harzard_show.php?rid=3712&amp;url=harzardrecs.php" TargetMode="External"/><Relationship Id="rId_hyperlink_291" Type="http://schemas.openxmlformats.org/officeDocument/2006/relationships/hyperlink" Target="http://www.henontech.com/fieldsafety/harzard/harzard_show.php?rid=3731&amp;url=harzardrecs.php" TargetMode="External"/><Relationship Id="rId_hyperlink_292" Type="http://schemas.openxmlformats.org/officeDocument/2006/relationships/hyperlink" Target="http://www.henontech.com/fieldsafety/harzard/harzard_show.php?rid=3748&amp;url=harzardrecs.php" TargetMode="External"/><Relationship Id="rId_hyperlink_293" Type="http://schemas.openxmlformats.org/officeDocument/2006/relationships/hyperlink" Target="http://www.henontech.com/fieldsafety/harzard/harzard_show.php?rid=3820&amp;url=harzardrecs.php" TargetMode="External"/><Relationship Id="rId_hyperlink_294" Type="http://schemas.openxmlformats.org/officeDocument/2006/relationships/hyperlink" Target="http://www.henontech.com/fieldsafety/harzard/harzard_show.php?rid=3835&amp;url=harzardrecs.php" TargetMode="External"/><Relationship Id="rId_hyperlink_295" Type="http://schemas.openxmlformats.org/officeDocument/2006/relationships/hyperlink" Target="http://www.henontech.com/fieldsafety/harzard/harzard_show.php?rid=3888&amp;url=harzardrecs.php" TargetMode="External"/><Relationship Id="rId_hyperlink_296" Type="http://schemas.openxmlformats.org/officeDocument/2006/relationships/hyperlink" Target="http://www.henontech.com/fieldsafety/harzard/harzard_show.php?rid=3903&amp;url=harzardrecs.php" TargetMode="External"/><Relationship Id="rId_hyperlink_297" Type="http://schemas.openxmlformats.org/officeDocument/2006/relationships/hyperlink" Target="http://www.henontech.com/fieldsafety/harzard/harzard_show.php?rid=4044&amp;url=harzardrecs.php" TargetMode="External"/><Relationship Id="rId_hyperlink_298" Type="http://schemas.openxmlformats.org/officeDocument/2006/relationships/hyperlink" Target="http://www.henontech.com/fieldsafety/harzard/harzard_show.php?rid=4056&amp;url=harzardrecs.php" TargetMode="External"/><Relationship Id="rId_hyperlink_299" Type="http://schemas.openxmlformats.org/officeDocument/2006/relationships/hyperlink" Target="http://www.henontech.com/fieldsafety/harzard/harzard_show.php?rid=4068&amp;url=harzardrecs.php" TargetMode="External"/><Relationship Id="rId_hyperlink_300" Type="http://schemas.openxmlformats.org/officeDocument/2006/relationships/hyperlink" Target="http://www.henontech.com/fieldsafety/harzard/harzard_show.php?rid=4069&amp;url=harzardrecs.php" TargetMode="External"/><Relationship Id="rId_hyperlink_301" Type="http://schemas.openxmlformats.org/officeDocument/2006/relationships/hyperlink" Target="http://www.henontech.com/fieldsafety/harzard/harzard_show.php?rid=4071&amp;url=harzardrecs.php" TargetMode="External"/><Relationship Id="rId_hyperlink_302" Type="http://schemas.openxmlformats.org/officeDocument/2006/relationships/hyperlink" Target="http://www.henontech.com/fieldsafety/harzard/harzard_show.php?rid=4079&amp;url=harzardrecs.php" TargetMode="External"/><Relationship Id="rId_hyperlink_303" Type="http://schemas.openxmlformats.org/officeDocument/2006/relationships/hyperlink" Target="http://www.henontech.com/fieldsafety/harzard/harzard_show.php?rid=4080&amp;url=harzardrecs.php" TargetMode="External"/><Relationship Id="rId_hyperlink_304" Type="http://schemas.openxmlformats.org/officeDocument/2006/relationships/hyperlink" Target="http://www.henontech.com/fieldsafety/harzard/harzard_show.php?rid=4101&amp;url=harzardrecs.php" TargetMode="External"/><Relationship Id="rId_hyperlink_305" Type="http://schemas.openxmlformats.org/officeDocument/2006/relationships/hyperlink" Target="http://www.henontech.com/fieldsafety/harzard/harzard_show.php?rid=4102&amp;url=harzardrecs.php" TargetMode="External"/><Relationship Id="rId_hyperlink_306" Type="http://schemas.openxmlformats.org/officeDocument/2006/relationships/hyperlink" Target="http://www.henontech.com/fieldsafety/harzard/harzard_show.php?rid=4104&amp;url=harzardrecs.php" TargetMode="External"/><Relationship Id="rId_hyperlink_307" Type="http://schemas.openxmlformats.org/officeDocument/2006/relationships/hyperlink" Target="http://www.henontech.com/fieldsafety/harzard/harzard_show.php?rid=4116&amp;url=harzardrecs.php" TargetMode="External"/><Relationship Id="rId_hyperlink_308" Type="http://schemas.openxmlformats.org/officeDocument/2006/relationships/hyperlink" Target="http://www.henontech.com/fieldsafety/harzard/harzard_show.php?rid=4177&amp;url=harzardrecs.php" TargetMode="External"/><Relationship Id="rId_hyperlink_309" Type="http://schemas.openxmlformats.org/officeDocument/2006/relationships/hyperlink" Target="http://www.henontech.com/fieldsafety/harzard/harzard_show.php?rid=4235&amp;url=harzardrecs.php" TargetMode="External"/><Relationship Id="rId_hyperlink_310" Type="http://schemas.openxmlformats.org/officeDocument/2006/relationships/hyperlink" Target="http://www.henontech.com/fieldsafety/harzard/harzard_show.php?rid=4237&amp;url=harzardrecs.php" TargetMode="External"/><Relationship Id="rId_hyperlink_311" Type="http://schemas.openxmlformats.org/officeDocument/2006/relationships/hyperlink" Target="http://www.henontech.com/fieldsafety/harzard/harzard_show.php?rid=4237&amp;url=harzardrecs.php" TargetMode="External"/><Relationship Id="rId_hyperlink_312" Type="http://schemas.openxmlformats.org/officeDocument/2006/relationships/hyperlink" Target="http://www.henontech.com/fieldsafety/harzard/harzard_show.php?rid=4241&amp;url=harzardrecs.php" TargetMode="External"/><Relationship Id="rId_hyperlink_313" Type="http://schemas.openxmlformats.org/officeDocument/2006/relationships/hyperlink" Target="http://www.henontech.com/fieldsafety/harzard/harzard_show.php?rid=4244&amp;url=harzardrecs.php" TargetMode="External"/><Relationship Id="rId_hyperlink_314" Type="http://schemas.openxmlformats.org/officeDocument/2006/relationships/hyperlink" Target="http://www.henontech.com/fieldsafety/harzard/harzard_show.php?rid=4246&amp;url=harzardrecs.php" TargetMode="External"/><Relationship Id="rId_hyperlink_315" Type="http://schemas.openxmlformats.org/officeDocument/2006/relationships/hyperlink" Target="http://www.henontech.com/fieldsafety/harzard/harzard_show.php?rid=4258&amp;url=harzardrecs.php" TargetMode="External"/><Relationship Id="rId_hyperlink_316" Type="http://schemas.openxmlformats.org/officeDocument/2006/relationships/hyperlink" Target="http://www.henontech.com/fieldsafety/harzard/harzard_show.php?rid=4259&amp;url=harzardrecs.php" TargetMode="External"/><Relationship Id="rId_hyperlink_317" Type="http://schemas.openxmlformats.org/officeDocument/2006/relationships/hyperlink" Target="http://www.henontech.com/fieldsafety/harzard/harzard_show.php?rid=4260&amp;url=harzardrecs.php" TargetMode="External"/><Relationship Id="rId_hyperlink_318" Type="http://schemas.openxmlformats.org/officeDocument/2006/relationships/hyperlink" Target="http://www.henontech.com/fieldsafety/harzard/harzard_show.php?rid=4273&amp;url=harzardrecs.php" TargetMode="External"/><Relationship Id="rId_hyperlink_319" Type="http://schemas.openxmlformats.org/officeDocument/2006/relationships/hyperlink" Target="http://www.henontech.com/fieldsafety/harzard/harzard_show.php?rid=4290&amp;url=harzardrecs.php" TargetMode="External"/><Relationship Id="rId_hyperlink_320" Type="http://schemas.openxmlformats.org/officeDocument/2006/relationships/hyperlink" Target="http://www.henontech.com/fieldsafety/harzard/harzard_show.php?rid=4291&amp;url=harzardrecs.php" TargetMode="External"/><Relationship Id="rId_hyperlink_321" Type="http://schemas.openxmlformats.org/officeDocument/2006/relationships/hyperlink" Target="http://www.henontech.com/fieldsafety/harzard/harzard_show.php?rid=4390&amp;url=harzardrecs.php" TargetMode="External"/><Relationship Id="rId_hyperlink_322" Type="http://schemas.openxmlformats.org/officeDocument/2006/relationships/hyperlink" Target="http://www.henontech.com/fieldsafety/harzard/harzard_show.php?rid=4411&amp;url=harzardrecs.php" TargetMode="External"/><Relationship Id="rId_hyperlink_323" Type="http://schemas.openxmlformats.org/officeDocument/2006/relationships/hyperlink" Target="http://www.henontech.com/fieldsafety/harzard/harzard_show.php?rid=4433&amp;url=harzardrecs.php" TargetMode="External"/><Relationship Id="rId_hyperlink_324" Type="http://schemas.openxmlformats.org/officeDocument/2006/relationships/hyperlink" Target="http://www.henontech.com/fieldsafety/harzard/harzard_show.php?rid=4434&amp;url=harzardrecs.php" TargetMode="External"/><Relationship Id="rId_hyperlink_325" Type="http://schemas.openxmlformats.org/officeDocument/2006/relationships/hyperlink" Target="http://www.henontech.com/fieldsafety/harzard/harzard_show.php?rid=4435&amp;url=harzardrecs.php" TargetMode="External"/><Relationship Id="rId_hyperlink_326" Type="http://schemas.openxmlformats.org/officeDocument/2006/relationships/hyperlink" Target="http://www.henontech.com/fieldsafety/harzard/harzard_show.php?rid=4481&amp;url=harzardrecs.php" TargetMode="External"/><Relationship Id="rId_hyperlink_327" Type="http://schemas.openxmlformats.org/officeDocument/2006/relationships/hyperlink" Target="http://www.henontech.com/fieldsafety/harzard/harzard_show.php?rid=4491&amp;url=harzardrecs.php" TargetMode="External"/><Relationship Id="rId_hyperlink_328" Type="http://schemas.openxmlformats.org/officeDocument/2006/relationships/hyperlink" Target="http://www.henontech.com/fieldsafety/harzard/harzard_show.php?rid=4513&amp;url=harzardrecs.php" TargetMode="External"/><Relationship Id="rId_hyperlink_329" Type="http://schemas.openxmlformats.org/officeDocument/2006/relationships/hyperlink" Target="http://www.henontech.com/fieldsafety/harzard/harzard_show.php?rid=4578&amp;url=harzardrecs.php" TargetMode="External"/><Relationship Id="rId_hyperlink_330" Type="http://schemas.openxmlformats.org/officeDocument/2006/relationships/hyperlink" Target="http://www.henontech.com/fieldsafety/harzard/harzard_show.php?rid=4664&amp;url=harzardrecs.php" TargetMode="External"/><Relationship Id="rId_hyperlink_331" Type="http://schemas.openxmlformats.org/officeDocument/2006/relationships/hyperlink" Target="http://www.henontech.com/fieldsafety/harzard/harzard_show.php?rid=4793&amp;url=harzardrecs.php" TargetMode="External"/><Relationship Id="rId_hyperlink_332" Type="http://schemas.openxmlformats.org/officeDocument/2006/relationships/hyperlink" Target="http://www.henontech.com/fieldsafety/harzard/harzard_show.php?rid=4800&amp;url=harzardrecs.php" TargetMode="External"/><Relationship Id="rId_hyperlink_333" Type="http://schemas.openxmlformats.org/officeDocument/2006/relationships/hyperlink" Target="http://www.henontech.com/fieldsafety/harzard/harzard_show.php?rid=4887&amp;url=harzardrecs.php" TargetMode="External"/><Relationship Id="rId_hyperlink_334" Type="http://schemas.openxmlformats.org/officeDocument/2006/relationships/hyperlink" Target="http://www.henontech.com/fieldsafety/harzard/harzard_show.php?rid=4888&amp;url=harzardrecs.php" TargetMode="External"/><Relationship Id="rId_hyperlink_335" Type="http://schemas.openxmlformats.org/officeDocument/2006/relationships/hyperlink" Target="http://www.henontech.com/fieldsafety/harzard/harzard_show.php?rid=4909&amp;url=harzardrecs.php" TargetMode="External"/><Relationship Id="rId_hyperlink_336" Type="http://schemas.openxmlformats.org/officeDocument/2006/relationships/hyperlink" Target="http://www.henontech.com/fieldsafety/harzard/harzard_show.php?rid=4980&amp;url=harzardrecs.php" TargetMode="External"/><Relationship Id="rId_hyperlink_337" Type="http://schemas.openxmlformats.org/officeDocument/2006/relationships/hyperlink" Target="http://www.henontech.com/fieldsafety/harzard/harzard_show.php?rid=5073&amp;url=harzardrecs.php" TargetMode="External"/><Relationship Id="rId_hyperlink_338" Type="http://schemas.openxmlformats.org/officeDocument/2006/relationships/hyperlink" Target="http://www.henontech.com/fieldsafety/harzard/harzard_show.php?rid=5074&amp;url=harzardrecs.php" TargetMode="External"/><Relationship Id="rId_hyperlink_339" Type="http://schemas.openxmlformats.org/officeDocument/2006/relationships/hyperlink" Target="http://www.henontech.com/fieldsafety/harzard/harzard_show.php?rid=5076&amp;url=harzardrecs.php" TargetMode="External"/><Relationship Id="rId_hyperlink_340" Type="http://schemas.openxmlformats.org/officeDocument/2006/relationships/hyperlink" Target="http://www.henontech.com/fieldsafety/harzard/harzard_show.php?rid=5082&amp;url=harzardrecs.php" TargetMode="External"/><Relationship Id="rId_hyperlink_341" Type="http://schemas.openxmlformats.org/officeDocument/2006/relationships/hyperlink" Target="http://www.henontech.com/fieldsafety/harzard/harzard_show.php?rid=5086&amp;url=harzardrecs.php" TargetMode="External"/><Relationship Id="rId_hyperlink_342" Type="http://schemas.openxmlformats.org/officeDocument/2006/relationships/hyperlink" Target="http://www.henontech.com/fieldsafety/harzard/harzard_show.php?rid=5171&amp;url=harzardrecs.php" TargetMode="External"/><Relationship Id="rId_hyperlink_343" Type="http://schemas.openxmlformats.org/officeDocument/2006/relationships/hyperlink" Target="http://www.henontech.com/fieldsafety/harzard/harzard_show.php?rid=5199&amp;url=harzardrecs.php" TargetMode="External"/><Relationship Id="rId_hyperlink_344" Type="http://schemas.openxmlformats.org/officeDocument/2006/relationships/hyperlink" Target="http://www.henontech.com/fieldsafety/harzard/harzard_show.php?rid=5264&amp;url=harzardrecs.php" TargetMode="External"/><Relationship Id="rId_hyperlink_345" Type="http://schemas.openxmlformats.org/officeDocument/2006/relationships/hyperlink" Target="http://www.henontech.com/fieldsafety/harzard/harzard_show.php?rid=5277&amp;url=harzardrecs.php" TargetMode="External"/><Relationship Id="rId_hyperlink_346" Type="http://schemas.openxmlformats.org/officeDocument/2006/relationships/hyperlink" Target="http://www.henontech.com/fieldsafety/harzard/harzard_show.php?rid=5287&amp;url=harzardrecs.php" TargetMode="External"/><Relationship Id="rId_hyperlink_347" Type="http://schemas.openxmlformats.org/officeDocument/2006/relationships/hyperlink" Target="http://www.henontech.com/fieldsafety/harzard/harzard_show.php?rid=5301&amp;url=harzardrecs.php" TargetMode="External"/><Relationship Id="rId_hyperlink_348" Type="http://schemas.openxmlformats.org/officeDocument/2006/relationships/hyperlink" Target="http://www.henontech.com/fieldsafety/harzard/harzard_show.php?rid=5322&amp;url=harzardrecs.php" TargetMode="External"/><Relationship Id="rId_hyperlink_349" Type="http://schemas.openxmlformats.org/officeDocument/2006/relationships/hyperlink" Target="http://www.henontech.com/fieldsafety/harzard/harzard_show.php?rid=5331&amp;url=harzardrecs.php" TargetMode="External"/><Relationship Id="rId_hyperlink_350" Type="http://schemas.openxmlformats.org/officeDocument/2006/relationships/hyperlink" Target="http://www.henontech.com/fieldsafety/harzard/harzard_show.php?rid=5341&amp;url=harzardrecs.php" TargetMode="External"/><Relationship Id="rId_hyperlink_351" Type="http://schemas.openxmlformats.org/officeDocument/2006/relationships/hyperlink" Target="http://www.henontech.com/fieldsafety/harzard/harzard_show.php?rid=5343&amp;url=harzardrecs.php" TargetMode="External"/><Relationship Id="rId_hyperlink_352" Type="http://schemas.openxmlformats.org/officeDocument/2006/relationships/hyperlink" Target="http://www.henontech.com/fieldsafety/harzard/harzard_show.php?rid=5363&amp;url=harzardrecs.php" TargetMode="External"/><Relationship Id="rId_hyperlink_353" Type="http://schemas.openxmlformats.org/officeDocument/2006/relationships/hyperlink" Target="http://www.henontech.com/fieldsafety/harzard/harzard_show.php?rid=5399&amp;url=harzardrecs.php" TargetMode="External"/><Relationship Id="rId_hyperlink_354" Type="http://schemas.openxmlformats.org/officeDocument/2006/relationships/hyperlink" Target="http://www.henontech.com/fieldsafety/harzard/harzard_show.php?rid=5420&amp;url=harzardrecs.php" TargetMode="External"/><Relationship Id="rId_hyperlink_355" Type="http://schemas.openxmlformats.org/officeDocument/2006/relationships/hyperlink" Target="http://www.henontech.com/fieldsafety/harzard/harzard_show.php?rid=5422&amp;url=harzardrecs.php" TargetMode="External"/><Relationship Id="rId_hyperlink_356" Type="http://schemas.openxmlformats.org/officeDocument/2006/relationships/hyperlink" Target="http://www.henontech.com/fieldsafety/harzard/harzard_show.php?rid=5446&amp;url=harzardrecs.php" TargetMode="External"/><Relationship Id="rId_hyperlink_357" Type="http://schemas.openxmlformats.org/officeDocument/2006/relationships/hyperlink" Target="http://www.henontech.com/fieldsafety/harzard/harzard_show.php?rid=5540&amp;url=harzardrecs.php" TargetMode="External"/><Relationship Id="rId_hyperlink_358" Type="http://schemas.openxmlformats.org/officeDocument/2006/relationships/hyperlink" Target="http://www.henontech.com/fieldsafety/harzard/harzard_show.php?rid=5660&amp;url=harzardrecs.php" TargetMode="External"/><Relationship Id="rId_hyperlink_359" Type="http://schemas.openxmlformats.org/officeDocument/2006/relationships/hyperlink" Target="http://www.henontech.com/fieldsafety/harzard/harzard_show.php?rid=5686&amp;url=harzardrecs.php" TargetMode="External"/><Relationship Id="rId_hyperlink_360" Type="http://schemas.openxmlformats.org/officeDocument/2006/relationships/hyperlink" Target="http://www.henontech.com/fieldsafety/harzard/harzard_show.php?rid=5695&amp;url=harzardrecs.php" TargetMode="External"/><Relationship Id="rId_hyperlink_361" Type="http://schemas.openxmlformats.org/officeDocument/2006/relationships/hyperlink" Target="http://www.henontech.com/fieldsafety/harzard/harzard_show.php?rid=5705&amp;url=harzardrecs.php" TargetMode="External"/><Relationship Id="rId_hyperlink_362" Type="http://schemas.openxmlformats.org/officeDocument/2006/relationships/hyperlink" Target="http://www.henontech.com/fieldsafety/harzard/harzard_show.php?rid=5737&amp;url=harzardrecs.php" TargetMode="External"/><Relationship Id="rId_hyperlink_363" Type="http://schemas.openxmlformats.org/officeDocument/2006/relationships/hyperlink" Target="http://www.henontech.com/fieldsafety/harzard/harzard_show.php?rid=5769&amp;url=harzardrecs.php" TargetMode="External"/><Relationship Id="rId_hyperlink_364" Type="http://schemas.openxmlformats.org/officeDocument/2006/relationships/hyperlink" Target="http://www.henontech.com/fieldsafety/harzard/harzard_show.php?rid=5866&amp;url=harzardrecs.php" TargetMode="External"/><Relationship Id="rId_hyperlink_365" Type="http://schemas.openxmlformats.org/officeDocument/2006/relationships/hyperlink" Target="http://www.henontech.com/fieldsafety/harzard/harzard_show.php?rid=5873&amp;url=harzardrecs.php" TargetMode="External"/><Relationship Id="rId_hyperlink_366" Type="http://schemas.openxmlformats.org/officeDocument/2006/relationships/hyperlink" Target="http://www.henontech.com/fieldsafety/harzard/harzard_show.php?rid=5884&amp;url=harzardrecs.php" TargetMode="External"/><Relationship Id="rId_hyperlink_367" Type="http://schemas.openxmlformats.org/officeDocument/2006/relationships/hyperlink" Target="http://www.henontech.com/fieldsafety/harzard/harzard_show.php?rid=5950&amp;url=harzardrecs.php" TargetMode="External"/><Relationship Id="rId_hyperlink_368" Type="http://schemas.openxmlformats.org/officeDocument/2006/relationships/hyperlink" Target="http://www.henontech.com/fieldsafety/harzard/harzard_show.php?rid=6038&amp;url=harzardrecs.php" TargetMode="External"/><Relationship Id="rId_hyperlink_369" Type="http://schemas.openxmlformats.org/officeDocument/2006/relationships/hyperlink" Target="http://www.henontech.com/fieldsafety/harzard/harzard_show.php?rid=6074&amp;url=harzardrecs.php" TargetMode="External"/><Relationship Id="rId_hyperlink_370" Type="http://schemas.openxmlformats.org/officeDocument/2006/relationships/hyperlink" Target="http://www.henontech.com/fieldsafety/harzard/harzard_show.php?rid=6076&amp;url=harzardrecs.php" TargetMode="External"/><Relationship Id="rId_hyperlink_371" Type="http://schemas.openxmlformats.org/officeDocument/2006/relationships/hyperlink" Target="http://www.henontech.com/fieldsafety/harzard/harzard_show.php?rid=6277&amp;url=harzardrecs.php" TargetMode="External"/><Relationship Id="rId_hyperlink_372" Type="http://schemas.openxmlformats.org/officeDocument/2006/relationships/hyperlink" Target="http://www.henontech.com/fieldsafety/harzard/harzard_show.php?rid=6278&amp;url=harzardrecs.php" TargetMode="External"/><Relationship Id="rId_hyperlink_373" Type="http://schemas.openxmlformats.org/officeDocument/2006/relationships/hyperlink" Target="http://www.henontech.com/fieldsafety/harzard/harzard_show.php?rid=6319&amp;url=harzardrecs.php" TargetMode="External"/><Relationship Id="rId_hyperlink_374" Type="http://schemas.openxmlformats.org/officeDocument/2006/relationships/hyperlink" Target="http://www.henontech.com/fieldsafety/harzard/harzard_show.php?rid=6351&amp;url=harzardrecs.php" TargetMode="External"/><Relationship Id="rId_hyperlink_375" Type="http://schemas.openxmlformats.org/officeDocument/2006/relationships/hyperlink" Target="http://www.henontech.com/fieldsafety/harzard/harzard_show.php?rid=6358&amp;url=harzardrecs.php" TargetMode="External"/><Relationship Id="rId_hyperlink_376" Type="http://schemas.openxmlformats.org/officeDocument/2006/relationships/hyperlink" Target="http://www.henontech.com/fieldsafety/harzard/harzard_show.php?rid=6495&amp;url=harzardrecs.php" TargetMode="External"/><Relationship Id="rId_hyperlink_377" Type="http://schemas.openxmlformats.org/officeDocument/2006/relationships/hyperlink" Target="http://www.henontech.com/fieldsafety/harzard/harzard_show.php?rid=6497&amp;url=harzardrecs.php" TargetMode="External"/><Relationship Id="rId_hyperlink_378" Type="http://schemas.openxmlformats.org/officeDocument/2006/relationships/hyperlink" Target="http://www.henontech.com/fieldsafety/harzard/harzard_show.php?rid=6508&amp;url=harzardrecs.php" TargetMode="External"/><Relationship Id="rId_hyperlink_379" Type="http://schemas.openxmlformats.org/officeDocument/2006/relationships/hyperlink" Target="http://www.henontech.com/fieldsafety/harzard/harzard_show.php?rid=6589&amp;url=harzardrecs.php" TargetMode="External"/><Relationship Id="rId_hyperlink_380" Type="http://schemas.openxmlformats.org/officeDocument/2006/relationships/hyperlink" Target="http://www.henontech.com/fieldsafety/harzard/harzard_show.php?rid=6622&amp;url=harzardrecs.php" TargetMode="External"/><Relationship Id="rId_hyperlink_381" Type="http://schemas.openxmlformats.org/officeDocument/2006/relationships/hyperlink" Target="http://www.henontech.com/fieldsafety/harzard/harzard_show.php?rid=6629&amp;url=harzardrecs.php" TargetMode="External"/><Relationship Id="rId_hyperlink_382" Type="http://schemas.openxmlformats.org/officeDocument/2006/relationships/hyperlink" Target="http://www.henontech.com/fieldsafety/harzard/harzard_show.php?rid=6712&amp;url=harzardrecs.php" TargetMode="External"/><Relationship Id="rId_hyperlink_383" Type="http://schemas.openxmlformats.org/officeDocument/2006/relationships/hyperlink" Target="http://www.henontech.com/fieldsafety/harzard/harzard_show.php?rid=6765&amp;url=harzardrecs.php" TargetMode="External"/><Relationship Id="rId_hyperlink_384" Type="http://schemas.openxmlformats.org/officeDocument/2006/relationships/hyperlink" Target="http://www.henontech.com/fieldsafety/harzard/harzard_show.php?rid=6819&amp;url=harzardrecs.php" TargetMode="External"/><Relationship Id="rId_hyperlink_385" Type="http://schemas.openxmlformats.org/officeDocument/2006/relationships/hyperlink" Target="http://www.henontech.com/fieldsafety/harzard/harzard_show.php?rid=6886&amp;url=harzardrecs.php" TargetMode="External"/><Relationship Id="rId_hyperlink_386" Type="http://schemas.openxmlformats.org/officeDocument/2006/relationships/hyperlink" Target="http://www.henontech.com/fieldsafety/harzard/harzard_show.php?rid=7182&amp;url=harzardrecs.php" TargetMode="External"/><Relationship Id="rId_hyperlink_387" Type="http://schemas.openxmlformats.org/officeDocument/2006/relationships/hyperlink" Target="http://www.henontech.com/fieldsafety/harzard/harzard_show.php?rid=7373&amp;url=harzardrecs.php" TargetMode="External"/><Relationship Id="rId_hyperlink_388" Type="http://schemas.openxmlformats.org/officeDocument/2006/relationships/hyperlink" Target="http://www.henontech.com/fieldsafety/harzard/harzard_show.php?rid=7374&amp;url=harzardrecs.php" TargetMode="External"/><Relationship Id="rId_hyperlink_389" Type="http://schemas.openxmlformats.org/officeDocument/2006/relationships/hyperlink" Target="http://www.henontech.com/fieldsafety/harzard/harzard_show.php?rid=7375&amp;url=harzardrecs.php" TargetMode="External"/><Relationship Id="rId_hyperlink_390" Type="http://schemas.openxmlformats.org/officeDocument/2006/relationships/hyperlink" Target="http://www.henontech.com/fieldsafety/harzard/harzard_show.php?rid=7376&amp;url=harzardrecs.php" TargetMode="External"/><Relationship Id="rId_hyperlink_391" Type="http://schemas.openxmlformats.org/officeDocument/2006/relationships/hyperlink" Target="http://www.henontech.com/fieldsafety/harzard/harzard_show.php?rid=7462&amp;url=harzardrecs.php" TargetMode="External"/><Relationship Id="rId_hyperlink_392" Type="http://schemas.openxmlformats.org/officeDocument/2006/relationships/hyperlink" Target="http://www.henontech.com/fieldsafety/harzard/harzard_show.php?rid=7601&amp;url=harzardrecs.php" TargetMode="External"/><Relationship Id="rId_hyperlink_393" Type="http://schemas.openxmlformats.org/officeDocument/2006/relationships/hyperlink" Target="http://www.henontech.com/fieldsafety/harzard/harzard_show.php?rid=7606&amp;url=harzardrecs.php" TargetMode="External"/><Relationship Id="rId_hyperlink_394" Type="http://schemas.openxmlformats.org/officeDocument/2006/relationships/hyperlink" Target="http://www.henontech.com/fieldsafety/harzard/harzard_show.php?rid=7637&amp;url=harzardrecs.php" TargetMode="External"/><Relationship Id="rId_hyperlink_395" Type="http://schemas.openxmlformats.org/officeDocument/2006/relationships/hyperlink" Target="http://www.henontech.com/fieldsafety/harzard/harzard_show.php?rid=8210&amp;url=harzardrecs.php" TargetMode="External"/><Relationship Id="rId_hyperlink_396" Type="http://schemas.openxmlformats.org/officeDocument/2006/relationships/hyperlink" Target="http://www.henontech.com/fieldsafety/harzard/harzard_show.php?rid=9006&amp;url=harzardrecs.php" TargetMode="External"/><Relationship Id="rId_hyperlink_397" Type="http://schemas.openxmlformats.org/officeDocument/2006/relationships/hyperlink" Target="http://www.henontech.com/fieldsafety/harzard/harzard_show.php?rid=9009&amp;url=harzardrecs.php" TargetMode="External"/><Relationship Id="rId_hyperlink_398" Type="http://schemas.openxmlformats.org/officeDocument/2006/relationships/hyperlink" Target="http://www.henontech.com/fieldsafety/harzard/harzard_show.php?rid=9011&amp;url=harzardrecs.php" TargetMode="External"/><Relationship Id="rId_hyperlink_399" Type="http://schemas.openxmlformats.org/officeDocument/2006/relationships/hyperlink" Target="http://www.henontech.com/fieldsafety/harzard/harzard_show.php?rid=9047&amp;url=harzardrecs.php" TargetMode="External"/><Relationship Id="rId_hyperlink_400" Type="http://schemas.openxmlformats.org/officeDocument/2006/relationships/hyperlink" Target="http://www.henontech.com/fieldsafety/harzard/harzard_show.php?rid=9305&amp;url=harzardrecs.php" TargetMode="External"/><Relationship Id="rId_hyperlink_401" Type="http://schemas.openxmlformats.org/officeDocument/2006/relationships/hyperlink" Target="http://www.henontech.com/fieldsafety/harzard/harzard_show.php?rid=9341&amp;url=harzardrecs.php" TargetMode="External"/><Relationship Id="rId_hyperlink_402" Type="http://schemas.openxmlformats.org/officeDocument/2006/relationships/hyperlink" Target="http://www.henontech.com/fieldsafety/harzard/harzard_show.php?rid=10040&amp;url=harzardrecs.php" TargetMode="External"/><Relationship Id="rId_hyperlink_403" Type="http://schemas.openxmlformats.org/officeDocument/2006/relationships/hyperlink" Target="http://www.henontech.com/fieldsafety/harzard/harzard_show.php?rid=10094&amp;url=harzardrecs.php" TargetMode="External"/><Relationship Id="rId_hyperlink_404" Type="http://schemas.openxmlformats.org/officeDocument/2006/relationships/hyperlink" Target="http://www.henontech.com/fieldsafety/harzard/harzard_show.php?rid=10124&amp;url=harzardrecs.php" TargetMode="External"/><Relationship Id="rId_hyperlink_405" Type="http://schemas.openxmlformats.org/officeDocument/2006/relationships/hyperlink" Target="http://www.henontech.com/fieldsafety/harzard/harzard_show.php?rid=10154&amp;url=harzardrecs.php" TargetMode="External"/><Relationship Id="rId_hyperlink_406" Type="http://schemas.openxmlformats.org/officeDocument/2006/relationships/hyperlink" Target="http://www.henontech.com/fieldsafety/harzard/harzard_show.php?rid=10175&amp;url=harzardrecs.php" TargetMode="External"/><Relationship Id="rId_hyperlink_407" Type="http://schemas.openxmlformats.org/officeDocument/2006/relationships/hyperlink" Target="http://www.henontech.com/fieldsafety/harzard/harzard_show.php?rid=10199&amp;url=harzardrecs.php" TargetMode="External"/><Relationship Id="rId_hyperlink_408" Type="http://schemas.openxmlformats.org/officeDocument/2006/relationships/hyperlink" Target="http://www.henontech.com/fieldsafety/harzard/harzard_show.php?rid=10250&amp;url=harzardrecs.php" TargetMode="External"/><Relationship Id="rId_hyperlink_409" Type="http://schemas.openxmlformats.org/officeDocument/2006/relationships/hyperlink" Target="http://www.henontech.com/fieldsafety/harzard/harzard_show.php?rid=10267&amp;url=harzardrecs.php" TargetMode="External"/><Relationship Id="rId_hyperlink_410" Type="http://schemas.openxmlformats.org/officeDocument/2006/relationships/hyperlink" Target="http://www.henontech.com/fieldsafety/harzard/harzard_show.php?rid=10299&amp;url=harzardrecs.php" TargetMode="External"/><Relationship Id="rId_hyperlink_411" Type="http://schemas.openxmlformats.org/officeDocument/2006/relationships/hyperlink" Target="http://www.henontech.com/fieldsafety/harzard/harzard_show.php?rid=10361&amp;url=harzardrecs.php" TargetMode="External"/><Relationship Id="rId_hyperlink_412" Type="http://schemas.openxmlformats.org/officeDocument/2006/relationships/hyperlink" Target="http://www.henontech.com/fieldsafety/harzard/harzard_show.php?rid=10365&amp;url=harzardrecs.php" TargetMode="External"/><Relationship Id="rId_hyperlink_413" Type="http://schemas.openxmlformats.org/officeDocument/2006/relationships/hyperlink" Target="http://www.henontech.com/fieldsafety/harzard/harzard_show.php?rid=10367&amp;url=harzardrecs.php" TargetMode="External"/><Relationship Id="rId_hyperlink_414" Type="http://schemas.openxmlformats.org/officeDocument/2006/relationships/hyperlink" Target="http://www.henontech.com/fieldsafety/harzard/harzard_show.php?rid=10370&amp;url=harzardrecs.php" TargetMode="External"/><Relationship Id="rId_hyperlink_415" Type="http://schemas.openxmlformats.org/officeDocument/2006/relationships/hyperlink" Target="http://www.henontech.com/fieldsafety/harzard/harzard_show.php?rid=10371&amp;url=harzardrecs.php" TargetMode="External"/><Relationship Id="rId_hyperlink_416" Type="http://schemas.openxmlformats.org/officeDocument/2006/relationships/hyperlink" Target="http://www.henontech.com/fieldsafety/harzard/harzard_show.php?rid=10497&amp;url=harzardrecs.php" TargetMode="External"/><Relationship Id="rId_hyperlink_417" Type="http://schemas.openxmlformats.org/officeDocument/2006/relationships/hyperlink" Target="http://www.henontech.com/fieldsafety/harzard/harzard_show.php?rid=10534&amp;url=harzardrecs.php" TargetMode="External"/><Relationship Id="rId_hyperlink_418" Type="http://schemas.openxmlformats.org/officeDocument/2006/relationships/hyperlink" Target="http://www.henontech.com/fieldsafety/harzard/harzard_show.php?rid=10624&amp;url=harzardrecs.php" TargetMode="External"/><Relationship Id="rId_hyperlink_419" Type="http://schemas.openxmlformats.org/officeDocument/2006/relationships/hyperlink" Target="http://www.henontech.com/fieldsafety/harzard/harzard_show.php?rid=10636&amp;url=harzardrecs.php" TargetMode="External"/><Relationship Id="rId_hyperlink_420" Type="http://schemas.openxmlformats.org/officeDocument/2006/relationships/hyperlink" Target="http://www.henontech.com/fieldsafety/harzard/harzard_show.php?rid=10675&amp;url=harzardrecs.php" TargetMode="External"/><Relationship Id="rId_hyperlink_421" Type="http://schemas.openxmlformats.org/officeDocument/2006/relationships/hyperlink" Target="http://www.henontech.com/fieldsafety/harzard/harzard_show.php?rid=10787&amp;url=harzardrecs.php" TargetMode="External"/><Relationship Id="rId_hyperlink_422" Type="http://schemas.openxmlformats.org/officeDocument/2006/relationships/hyperlink" Target="http://www.henontech.com/fieldsafety/harzard/harzard_show.php?rid=10802&amp;url=harzardrecs.php" TargetMode="External"/><Relationship Id="rId_hyperlink_423" Type="http://schemas.openxmlformats.org/officeDocument/2006/relationships/hyperlink" Target="http://www.henontech.com/fieldsafety/harzard/harzard_show.php?rid=10810&amp;url=harzardrecs.php" TargetMode="External"/><Relationship Id="rId_hyperlink_424" Type="http://schemas.openxmlformats.org/officeDocument/2006/relationships/hyperlink" Target="http://www.henontech.com/fieldsafety/harzard/harzard_show.php?rid=10821&amp;url=harzardrecs.php" TargetMode="External"/><Relationship Id="rId_hyperlink_425" Type="http://schemas.openxmlformats.org/officeDocument/2006/relationships/hyperlink" Target="http://www.henontech.com/fieldsafety/harzard/harzard_show.php?rid=10952&amp;url=harzardrecs.php" TargetMode="External"/><Relationship Id="rId_hyperlink_426" Type="http://schemas.openxmlformats.org/officeDocument/2006/relationships/hyperlink" Target="http://www.henontech.com/fieldsafety/harzard/harzard_show.php?rid=10961&amp;url=harzardrecs.php" TargetMode="External"/><Relationship Id="rId_hyperlink_427" Type="http://schemas.openxmlformats.org/officeDocument/2006/relationships/hyperlink" Target="http://www.henontech.com/fieldsafety/harzard/harzard_show.php?rid=11075&amp;url=harzardrecs.php" TargetMode="External"/><Relationship Id="rId_hyperlink_428" Type="http://schemas.openxmlformats.org/officeDocument/2006/relationships/hyperlink" Target="http://www.henontech.com/fieldsafety/harzard/harzard_show.php?rid=11090&amp;url=harzardrecs.php" TargetMode="External"/><Relationship Id="rId_hyperlink_429" Type="http://schemas.openxmlformats.org/officeDocument/2006/relationships/hyperlink" Target="http://www.henontech.com/fieldsafety/harzard/harzard_show.php?rid=11094&amp;url=harzardrecs.php" TargetMode="External"/><Relationship Id="rId_hyperlink_430" Type="http://schemas.openxmlformats.org/officeDocument/2006/relationships/hyperlink" Target="http://www.henontech.com/fieldsafety/harzard/harzard_show.php?rid=11106&amp;url=harzardrecs.php" TargetMode="External"/><Relationship Id="rId_hyperlink_431" Type="http://schemas.openxmlformats.org/officeDocument/2006/relationships/hyperlink" Target="http://www.henontech.com/fieldsafety/harzard/harzard_show.php?rid=11174&amp;url=harzardrecs.php" TargetMode="External"/><Relationship Id="rId_hyperlink_432" Type="http://schemas.openxmlformats.org/officeDocument/2006/relationships/hyperlink" Target="http://www.henontech.com/fieldsafety/harzard/harzard_show.php?rid=11176&amp;url=harzardrecs.php" TargetMode="External"/><Relationship Id="rId_hyperlink_433" Type="http://schemas.openxmlformats.org/officeDocument/2006/relationships/hyperlink" Target="http://www.henontech.com/fieldsafety/harzard/harzard_show.php?rid=11177&amp;url=harzardrecs.php" TargetMode="External"/><Relationship Id="rId_hyperlink_434" Type="http://schemas.openxmlformats.org/officeDocument/2006/relationships/hyperlink" Target="http://www.henontech.com/fieldsafety/harzard/harzard_show.php?rid=11178&amp;url=harzardrecs.php" TargetMode="External"/><Relationship Id="rId_hyperlink_435" Type="http://schemas.openxmlformats.org/officeDocument/2006/relationships/hyperlink" Target="http://www.henontech.com/fieldsafety/harzard/harzard_show.php?rid=11228&amp;url=harzardrecs.php" TargetMode="External"/><Relationship Id="rId_hyperlink_436" Type="http://schemas.openxmlformats.org/officeDocument/2006/relationships/hyperlink" Target="http://www.henontech.com/fieldsafety/harzard/harzard_show.php?rid=11229&amp;url=harzardrecs.php" TargetMode="External"/><Relationship Id="rId_hyperlink_437" Type="http://schemas.openxmlformats.org/officeDocument/2006/relationships/hyperlink" Target="http://www.henontech.com/fieldsafety/harzard/harzard_show.php?rid=11239&amp;url=harzardrecs.php" TargetMode="External"/><Relationship Id="rId_hyperlink_438" Type="http://schemas.openxmlformats.org/officeDocument/2006/relationships/hyperlink" Target="http://www.henontech.com/fieldsafety/harzard/harzard_show.php?rid=11248&amp;url=harzardrecs.php" TargetMode="External"/><Relationship Id="rId_hyperlink_439" Type="http://schemas.openxmlformats.org/officeDocument/2006/relationships/hyperlink" Target="http://www.henontech.com/fieldsafety/harzard/harzard_show.php?rid=11259&amp;url=harzardrecs.php" TargetMode="External"/><Relationship Id="rId_hyperlink_440" Type="http://schemas.openxmlformats.org/officeDocument/2006/relationships/hyperlink" Target="http://www.henontech.com/fieldsafety/harzard/harzard_show.php?rid=11263&amp;url=harzardrecs.php" TargetMode="External"/><Relationship Id="rId_hyperlink_441" Type="http://schemas.openxmlformats.org/officeDocument/2006/relationships/hyperlink" Target="http://www.henontech.com/fieldsafety/harzard/harzard_show.php?rid=11271&amp;url=harzardrecs.php" TargetMode="External"/><Relationship Id="rId_hyperlink_442" Type="http://schemas.openxmlformats.org/officeDocument/2006/relationships/hyperlink" Target="http://www.henontech.com/fieldsafety/harzard/harzard_show.php?rid=11275&amp;url=harzardrecs.php" TargetMode="External"/><Relationship Id="rId_hyperlink_443" Type="http://schemas.openxmlformats.org/officeDocument/2006/relationships/hyperlink" Target="http://www.henontech.com/fieldsafety/harzard/harzard_show.php?rid=11308&amp;url=harzardrecs.php" TargetMode="External"/><Relationship Id="rId_hyperlink_444" Type="http://schemas.openxmlformats.org/officeDocument/2006/relationships/hyperlink" Target="http://www.henontech.com/fieldsafety/harzard/harzard_show.php?rid=11309&amp;url=harzardrecs.php" TargetMode="External"/><Relationship Id="rId_hyperlink_445" Type="http://schemas.openxmlformats.org/officeDocument/2006/relationships/hyperlink" Target="http://www.henontech.com/fieldsafety/harzard/harzard_show.php?rid=11311&amp;url=harzardrecs.php" TargetMode="External"/><Relationship Id="rId_hyperlink_446" Type="http://schemas.openxmlformats.org/officeDocument/2006/relationships/hyperlink" Target="http://www.henontech.com/fieldsafety/harzard/harzard_show.php?rid=11330&amp;url=harzardrecs.php" TargetMode="External"/><Relationship Id="rId_hyperlink_447" Type="http://schemas.openxmlformats.org/officeDocument/2006/relationships/hyperlink" Target="http://www.henontech.com/fieldsafety/harzard/harzard_show.php?rid=11340&amp;url=harzardrecs.php" TargetMode="External"/><Relationship Id="rId_hyperlink_448" Type="http://schemas.openxmlformats.org/officeDocument/2006/relationships/hyperlink" Target="http://www.henontech.com/fieldsafety/harzard/harzard_show.php?rid=11349&amp;url=harzardrecs.php" TargetMode="External"/><Relationship Id="rId_hyperlink_449" Type="http://schemas.openxmlformats.org/officeDocument/2006/relationships/hyperlink" Target="http://www.henontech.com/fieldsafety/harzard/harzard_show.php?rid=11389&amp;url=harzardrecs.php" TargetMode="External"/><Relationship Id="rId_hyperlink_450" Type="http://schemas.openxmlformats.org/officeDocument/2006/relationships/hyperlink" Target="http://www.henontech.com/fieldsafety/harzard/harzard_show.php?rid=11403&amp;url=harzardrecs.php" TargetMode="External"/><Relationship Id="rId_hyperlink_451" Type="http://schemas.openxmlformats.org/officeDocument/2006/relationships/hyperlink" Target="http://www.henontech.com/fieldsafety/harzard/harzard_show.php?rid=11408&amp;url=harzardrecs.php" TargetMode="External"/><Relationship Id="rId_hyperlink_452" Type="http://schemas.openxmlformats.org/officeDocument/2006/relationships/hyperlink" Target="http://www.henontech.com/fieldsafety/harzard/harzard_show.php?rid=11468&amp;url=harzardrecs.php" TargetMode="External"/><Relationship Id="rId_hyperlink_453" Type="http://schemas.openxmlformats.org/officeDocument/2006/relationships/hyperlink" Target="http://www.henontech.com/fieldsafety/harzard/harzard_show.php?rid=11471&amp;url=harzardrecs.php" TargetMode="External"/><Relationship Id="rId_hyperlink_454" Type="http://schemas.openxmlformats.org/officeDocument/2006/relationships/hyperlink" Target="http://www.henontech.com/fieldsafety/harzard/harzard_show.php?rid=11581&amp;url=harzardrecs.php" TargetMode="External"/><Relationship Id="rId_hyperlink_455" Type="http://schemas.openxmlformats.org/officeDocument/2006/relationships/hyperlink" Target="http://www.henontech.com/fieldsafety/harzard/harzard_show.php?rid=11584&amp;url=harzardrecs.php" TargetMode="External"/><Relationship Id="rId_hyperlink_456" Type="http://schemas.openxmlformats.org/officeDocument/2006/relationships/hyperlink" Target="http://www.henontech.com/fieldsafety/harzard/harzard_show.php?rid=11594&amp;url=harzardrecs.php" TargetMode="External"/><Relationship Id="rId_hyperlink_457" Type="http://schemas.openxmlformats.org/officeDocument/2006/relationships/hyperlink" Target="http://www.henontech.com/fieldsafety/harzard/harzard_show.php?rid=11720&amp;url=harzardrecs.php" TargetMode="External"/><Relationship Id="rId_hyperlink_458" Type="http://schemas.openxmlformats.org/officeDocument/2006/relationships/hyperlink" Target="http://www.henontech.com/fieldsafety/harzard/harzard_show.php?rid=11733&amp;url=harzardrecs.php" TargetMode="External"/><Relationship Id="rId_hyperlink_459" Type="http://schemas.openxmlformats.org/officeDocument/2006/relationships/hyperlink" Target="http://www.henontech.com/fieldsafety/harzard/harzard_show.php?rid=11749&amp;url=harzardrecs.php" TargetMode="External"/><Relationship Id="rId_hyperlink_460" Type="http://schemas.openxmlformats.org/officeDocument/2006/relationships/hyperlink" Target="http://www.henontech.com/fieldsafety/harzard/harzard_show.php?rid=11767&amp;url=harzardrecs.php" TargetMode="External"/><Relationship Id="rId_hyperlink_461" Type="http://schemas.openxmlformats.org/officeDocument/2006/relationships/hyperlink" Target="http://www.henontech.com/fieldsafety/harzard/harzard_show.php?rid=11770&amp;url=harzardrecs.php" TargetMode="External"/><Relationship Id="rId_hyperlink_462" Type="http://schemas.openxmlformats.org/officeDocument/2006/relationships/hyperlink" Target="http://www.henontech.com/fieldsafety/harzard/harzard_show.php?rid=11775&amp;url=harzardrecs.php" TargetMode="External"/><Relationship Id="rId_hyperlink_463" Type="http://schemas.openxmlformats.org/officeDocument/2006/relationships/hyperlink" Target="http://www.henontech.com/fieldsafety/harzard/harzard_show.php?rid=11776&amp;url=harzardrecs.php" TargetMode="External"/><Relationship Id="rId_hyperlink_464" Type="http://schemas.openxmlformats.org/officeDocument/2006/relationships/hyperlink" Target="http://www.henontech.com/fieldsafety/harzard/harzard_show.php?rid=11777&amp;url=harzardrecs.php" TargetMode="External"/><Relationship Id="rId_hyperlink_465" Type="http://schemas.openxmlformats.org/officeDocument/2006/relationships/hyperlink" Target="http://www.henontech.com/fieldsafety/harzard/harzard_show.php?rid=11836&amp;url=harzardrecs.php" TargetMode="External"/><Relationship Id="rId_hyperlink_466" Type="http://schemas.openxmlformats.org/officeDocument/2006/relationships/hyperlink" Target="http://www.henontech.com/fieldsafety/harzard/harzard_show.php?rid=11930&amp;url=harzardrecs.php" TargetMode="External"/><Relationship Id="rId_hyperlink_467" Type="http://schemas.openxmlformats.org/officeDocument/2006/relationships/hyperlink" Target="http://www.henontech.com/fieldsafety/harzard/harzard_show.php?rid=12061&amp;url=harzardrecs.php" TargetMode="External"/><Relationship Id="rId_hyperlink_468" Type="http://schemas.openxmlformats.org/officeDocument/2006/relationships/hyperlink" Target="http://www.henontech.com/fieldsafety/harzard/harzard_show.php?rid=12094&amp;url=harzardrecs.php" TargetMode="External"/><Relationship Id="rId_hyperlink_469" Type="http://schemas.openxmlformats.org/officeDocument/2006/relationships/hyperlink" Target="http://www.henontech.com/fieldsafety/harzard/harzard_show.php?rid=12100&amp;url=harzardrecs.php" TargetMode="External"/><Relationship Id="rId_hyperlink_470" Type="http://schemas.openxmlformats.org/officeDocument/2006/relationships/hyperlink" Target="http://www.henontech.com/fieldsafety/harzard/harzard_show.php?rid=12107&amp;url=harzardrecs.php" TargetMode="External"/><Relationship Id="rId_hyperlink_471" Type="http://schemas.openxmlformats.org/officeDocument/2006/relationships/hyperlink" Target="http://www.henontech.com/fieldsafety/harzard/harzard_show.php?rid=12108&amp;url=harzardrecs.php" TargetMode="External"/><Relationship Id="rId_hyperlink_472" Type="http://schemas.openxmlformats.org/officeDocument/2006/relationships/hyperlink" Target="http://www.henontech.com/fieldsafety/harzard/harzard_show.php?rid=12109&amp;url=harzardrecs.php" TargetMode="External"/><Relationship Id="rId_hyperlink_473" Type="http://schemas.openxmlformats.org/officeDocument/2006/relationships/hyperlink" Target="http://www.henontech.com/fieldsafety/harzard/harzard_show.php?rid=12110&amp;url=harzardrecs.php" TargetMode="External"/><Relationship Id="rId_hyperlink_474" Type="http://schemas.openxmlformats.org/officeDocument/2006/relationships/hyperlink" Target="http://www.henontech.com/fieldsafety/harzard/harzard_show.php?rid=12115&amp;url=harzardrecs.php" TargetMode="External"/><Relationship Id="rId_hyperlink_475" Type="http://schemas.openxmlformats.org/officeDocument/2006/relationships/hyperlink" Target="http://www.henontech.com/fieldsafety/harzard/harzard_show.php?rid=12116&amp;url=harzardrecs.php" TargetMode="External"/><Relationship Id="rId_hyperlink_476" Type="http://schemas.openxmlformats.org/officeDocument/2006/relationships/hyperlink" Target="http://www.henontech.com/fieldsafety/harzard/harzard_show.php?rid=12117&amp;url=harzardrecs.php" TargetMode="External"/><Relationship Id="rId_hyperlink_477" Type="http://schemas.openxmlformats.org/officeDocument/2006/relationships/hyperlink" Target="http://www.henontech.com/fieldsafety/harzard/harzard_show.php?rid=12121&amp;url=harzardrecs.php" TargetMode="External"/><Relationship Id="rId_hyperlink_478" Type="http://schemas.openxmlformats.org/officeDocument/2006/relationships/hyperlink" Target="http://www.henontech.com/fieldsafety/harzard/harzard_show.php?rid=12155&amp;url=harzardrecs.php" TargetMode="External"/><Relationship Id="rId_hyperlink_479" Type="http://schemas.openxmlformats.org/officeDocument/2006/relationships/hyperlink" Target="http://www.henontech.com/fieldsafety/harzard/harzard_show.php?rid=12157&amp;url=harzardrecs.php" TargetMode="External"/><Relationship Id="rId_hyperlink_480" Type="http://schemas.openxmlformats.org/officeDocument/2006/relationships/hyperlink" Target="http://www.henontech.com/fieldsafety/harzard/harzard_show.php?rid=12209&amp;url=harzardrecs.php" TargetMode="External"/><Relationship Id="rId_hyperlink_481" Type="http://schemas.openxmlformats.org/officeDocument/2006/relationships/hyperlink" Target="http://www.henontech.com/fieldsafety/harzard/harzard_show.php?rid=12250&amp;url=harzardrecs.php" TargetMode="External"/><Relationship Id="rId_hyperlink_482" Type="http://schemas.openxmlformats.org/officeDocument/2006/relationships/hyperlink" Target="http://www.henontech.com/fieldsafety/harzard/harzard_show.php?rid=12261&amp;url=harzardrecs.php" TargetMode="External"/><Relationship Id="rId_hyperlink_483" Type="http://schemas.openxmlformats.org/officeDocument/2006/relationships/hyperlink" Target="http://www.henontech.com/fieldsafety/harzard/harzard_show.php?rid=12263&amp;url=harzardrecs.php" TargetMode="External"/><Relationship Id="rId_hyperlink_484" Type="http://schemas.openxmlformats.org/officeDocument/2006/relationships/hyperlink" Target="http://www.henontech.com/fieldsafety/harzard/harzard_show.php?rid=12276&amp;url=harzardrecs.php" TargetMode="External"/><Relationship Id="rId_hyperlink_485" Type="http://schemas.openxmlformats.org/officeDocument/2006/relationships/hyperlink" Target="http://www.henontech.com/fieldsafety/harzard/harzard_show.php?rid=12288&amp;url=harzardrecs.php" TargetMode="External"/><Relationship Id="rId_hyperlink_486" Type="http://schemas.openxmlformats.org/officeDocument/2006/relationships/hyperlink" Target="http://www.henontech.com/fieldsafety/harzard/harzard_show.php?rid=12296&amp;url=harzardrecs.php" TargetMode="External"/><Relationship Id="rId_hyperlink_487" Type="http://schemas.openxmlformats.org/officeDocument/2006/relationships/hyperlink" Target="http://www.henontech.com/fieldsafety/harzard/harzard_show.php?rid=12297&amp;url=harzardrecs.php" TargetMode="External"/><Relationship Id="rId_hyperlink_488" Type="http://schemas.openxmlformats.org/officeDocument/2006/relationships/hyperlink" Target="http://www.henontech.com/fieldsafety/harzard/harzard_show.php?rid=12298&amp;url=harzardrecs.php" TargetMode="External"/><Relationship Id="rId_hyperlink_489" Type="http://schemas.openxmlformats.org/officeDocument/2006/relationships/hyperlink" Target="http://www.henontech.com/fieldsafety/harzard/harzard_show.php?rid=12299&amp;url=harzardrecs.php" TargetMode="External"/><Relationship Id="rId_hyperlink_490" Type="http://schemas.openxmlformats.org/officeDocument/2006/relationships/hyperlink" Target="http://www.henontech.com/fieldsafety/harzard/harzard_show.php?rid=12300&amp;url=harzardrecs.php" TargetMode="External"/><Relationship Id="rId_hyperlink_491" Type="http://schemas.openxmlformats.org/officeDocument/2006/relationships/hyperlink" Target="http://www.henontech.com/fieldsafety/harzard/harzard_show.php?rid=12301&amp;url=harzardrecs.php" TargetMode="External"/><Relationship Id="rId_hyperlink_492" Type="http://schemas.openxmlformats.org/officeDocument/2006/relationships/hyperlink" Target="http://www.henontech.com/fieldsafety/harzard/harzard_show.php?rid=12303&amp;url=harzardrecs.php" TargetMode="External"/><Relationship Id="rId_hyperlink_493" Type="http://schemas.openxmlformats.org/officeDocument/2006/relationships/hyperlink" Target="http://www.henontech.com/fieldsafety/harzard/harzard_show.php?rid=12312&amp;url=harzardrecs.php" TargetMode="External"/><Relationship Id="rId_hyperlink_494" Type="http://schemas.openxmlformats.org/officeDocument/2006/relationships/hyperlink" Target="http://www.henontech.com/fieldsafety/harzard/harzard_show.php?rid=12326&amp;url=harzardrecs.php" TargetMode="External"/><Relationship Id="rId_hyperlink_495" Type="http://schemas.openxmlformats.org/officeDocument/2006/relationships/hyperlink" Target="http://www.henontech.com/fieldsafety/harzard/harzard_show.php?rid=12328&amp;url=harzardrecs.php" TargetMode="External"/><Relationship Id="rId_hyperlink_496" Type="http://schemas.openxmlformats.org/officeDocument/2006/relationships/hyperlink" Target="http://www.henontech.com/fieldsafety/harzard/harzard_show.php?rid=12329&amp;url=harzardrecs.php" TargetMode="External"/><Relationship Id="rId_hyperlink_497" Type="http://schemas.openxmlformats.org/officeDocument/2006/relationships/hyperlink" Target="http://www.henontech.com/fieldsafety/harzard/harzard_show.php?rid=12331&amp;url=harzardrecs.php" TargetMode="External"/><Relationship Id="rId_hyperlink_498" Type="http://schemas.openxmlformats.org/officeDocument/2006/relationships/hyperlink" Target="http://www.henontech.com/fieldsafety/harzard/harzard_show.php?rid=12335&amp;url=harzardrecs.php" TargetMode="External"/><Relationship Id="rId_hyperlink_499" Type="http://schemas.openxmlformats.org/officeDocument/2006/relationships/hyperlink" Target="http://www.henontech.com/fieldsafety/harzard/harzard_show.php?rid=12335&amp;url=harzardrecs.php" TargetMode="External"/><Relationship Id="rId_hyperlink_500" Type="http://schemas.openxmlformats.org/officeDocument/2006/relationships/hyperlink" Target="http://www.henontech.com/fieldsafety/harzard/harzard_show.php?rid=12336&amp;url=harzardrecs.php" TargetMode="External"/><Relationship Id="rId_hyperlink_501" Type="http://schemas.openxmlformats.org/officeDocument/2006/relationships/hyperlink" Target="http://www.henontech.com/fieldsafety/harzard/harzard_show.php?rid=12360&amp;url=harzardrecs.php" TargetMode="External"/><Relationship Id="rId_hyperlink_502" Type="http://schemas.openxmlformats.org/officeDocument/2006/relationships/hyperlink" Target="http://www.henontech.com/fieldsafety/harzard/harzard_show.php?rid=12383&amp;url=harzardrecs.php" TargetMode="External"/><Relationship Id="rId_hyperlink_503" Type="http://schemas.openxmlformats.org/officeDocument/2006/relationships/hyperlink" Target="http://www.henontech.com/fieldsafety/harzard/harzard_show.php?rid=12385&amp;url=harzardrecs.php" TargetMode="External"/><Relationship Id="rId_hyperlink_504" Type="http://schemas.openxmlformats.org/officeDocument/2006/relationships/hyperlink" Target="http://www.henontech.com/fieldsafety/harzard/harzard_show.php?rid=12404&amp;url=harzardrecs.php" TargetMode="External"/><Relationship Id="rId_hyperlink_505" Type="http://schemas.openxmlformats.org/officeDocument/2006/relationships/hyperlink" Target="http://www.henontech.com/fieldsafety/harzard/harzard_show.php?rid=12413&amp;url=harzardrecs.php" TargetMode="External"/><Relationship Id="rId_hyperlink_506" Type="http://schemas.openxmlformats.org/officeDocument/2006/relationships/hyperlink" Target="http://www.henontech.com/fieldsafety/harzard/harzard_show.php?rid=12442&amp;url=harzardrecs.php" TargetMode="External"/><Relationship Id="rId_hyperlink_507" Type="http://schemas.openxmlformats.org/officeDocument/2006/relationships/hyperlink" Target="http://www.henontech.com/fieldsafety/harzard/harzard_show.php?rid=12443&amp;url=harzardrecs.php" TargetMode="External"/><Relationship Id="rId_hyperlink_508" Type="http://schemas.openxmlformats.org/officeDocument/2006/relationships/hyperlink" Target="http://www.henontech.com/fieldsafety/harzard/harzard_show.php?rid=12446&amp;url=harzardrecs.php" TargetMode="External"/><Relationship Id="rId_hyperlink_509" Type="http://schemas.openxmlformats.org/officeDocument/2006/relationships/hyperlink" Target="http://www.henontech.com/fieldsafety/harzard/harzard_show.php?rid=12450&amp;url=harzardrecs.php" TargetMode="External"/><Relationship Id="rId_hyperlink_510" Type="http://schemas.openxmlformats.org/officeDocument/2006/relationships/hyperlink" Target="http://www.henontech.com/fieldsafety/harzard/harzard_show.php?rid=12452&amp;url=harzardrecs.php" TargetMode="External"/><Relationship Id="rId_hyperlink_511" Type="http://schemas.openxmlformats.org/officeDocument/2006/relationships/hyperlink" Target="http://www.henontech.com/fieldsafety/harzard/harzard_show.php?rid=12453&amp;url=harzardrecs.php" TargetMode="External"/><Relationship Id="rId_hyperlink_512" Type="http://schemas.openxmlformats.org/officeDocument/2006/relationships/hyperlink" Target="http://www.henontech.com/fieldsafety/harzard/harzard_show.php?rid=12454&amp;url=harzardrecs.php" TargetMode="External"/><Relationship Id="rId_hyperlink_513" Type="http://schemas.openxmlformats.org/officeDocument/2006/relationships/hyperlink" Target="http://www.henontech.com/fieldsafety/harzard/harzard_show.php?rid=12455&amp;url=harzardrecs.php" TargetMode="External"/><Relationship Id="rId_hyperlink_514" Type="http://schemas.openxmlformats.org/officeDocument/2006/relationships/hyperlink" Target="http://www.henontech.com/fieldsafety/harzard/harzard_show.php?rid=12502&amp;url=harzardrecs.php" TargetMode="External"/><Relationship Id="rId_hyperlink_515" Type="http://schemas.openxmlformats.org/officeDocument/2006/relationships/hyperlink" Target="http://www.henontech.com/fieldsafety/harzard/harzard_show.php?rid=12503&amp;url=harzardrecs.php" TargetMode="External"/><Relationship Id="rId_hyperlink_516" Type="http://schemas.openxmlformats.org/officeDocument/2006/relationships/hyperlink" Target="http://www.henontech.com/fieldsafety/harzard/harzard_show.php?rid=12515&amp;url=harzardrecs.php" TargetMode="External"/><Relationship Id="rId_hyperlink_517" Type="http://schemas.openxmlformats.org/officeDocument/2006/relationships/hyperlink" Target="http://www.henontech.com/fieldsafety/harzard/harzard_show.php?rid=12527&amp;url=harzardrecs.php" TargetMode="External"/><Relationship Id="rId_hyperlink_518" Type="http://schemas.openxmlformats.org/officeDocument/2006/relationships/hyperlink" Target="http://www.henontech.com/fieldsafety/harzard/harzard_show.php?rid=12529&amp;url=harzardrecs.php" TargetMode="External"/><Relationship Id="rId_hyperlink_519" Type="http://schemas.openxmlformats.org/officeDocument/2006/relationships/hyperlink" Target="http://www.henontech.com/fieldsafety/harzard/harzard_show.php?rid=12530&amp;url=harzardrecs.php" TargetMode="External"/><Relationship Id="rId_hyperlink_520" Type="http://schemas.openxmlformats.org/officeDocument/2006/relationships/hyperlink" Target="http://www.henontech.com/fieldsafety/harzard/harzard_show.php?rid=12544&amp;url=harzardrecs.php" TargetMode="External"/><Relationship Id="rId_hyperlink_521" Type="http://schemas.openxmlformats.org/officeDocument/2006/relationships/hyperlink" Target="http://www.henontech.com/fieldsafety/harzard/harzard_show.php?rid=12567&amp;url=harzardrecs.php" TargetMode="External"/><Relationship Id="rId_hyperlink_522" Type="http://schemas.openxmlformats.org/officeDocument/2006/relationships/hyperlink" Target="http://www.henontech.com/fieldsafety/harzard/harzard_show.php?rid=12605&amp;url=harzardrecs.php" TargetMode="External"/><Relationship Id="rId_hyperlink_523" Type="http://schemas.openxmlformats.org/officeDocument/2006/relationships/hyperlink" Target="http://www.henontech.com/fieldsafety/harzard/harzard_show.php?rid=12606&amp;url=harzardrecs.php" TargetMode="External"/><Relationship Id="rId_hyperlink_524" Type="http://schemas.openxmlformats.org/officeDocument/2006/relationships/hyperlink" Target="http://www.henontech.com/fieldsafety/harzard/harzard_show.php?rid=12619&amp;url=harzardrecs.php" TargetMode="External"/><Relationship Id="rId_hyperlink_525" Type="http://schemas.openxmlformats.org/officeDocument/2006/relationships/hyperlink" Target="http://www.henontech.com/fieldsafety/harzard/harzard_show.php?rid=12632&amp;url=harzardrecs.php" TargetMode="External"/><Relationship Id="rId_hyperlink_526" Type="http://schemas.openxmlformats.org/officeDocument/2006/relationships/hyperlink" Target="http://www.henontech.com/fieldsafety/harzard/harzard_show.php?rid=12645&amp;url=harzardrecs.php" TargetMode="External"/><Relationship Id="rId_hyperlink_527" Type="http://schemas.openxmlformats.org/officeDocument/2006/relationships/hyperlink" Target="http://www.henontech.com/fieldsafety/harzard/harzard_show.php?rid=12654&amp;url=harzardrecs.php" TargetMode="External"/><Relationship Id="rId_hyperlink_528" Type="http://schemas.openxmlformats.org/officeDocument/2006/relationships/hyperlink" Target="http://www.henontech.com/fieldsafety/harzard/harzard_show.php?rid=12660&amp;url=harzardrecs.php" TargetMode="External"/><Relationship Id="rId_hyperlink_529" Type="http://schemas.openxmlformats.org/officeDocument/2006/relationships/hyperlink" Target="http://www.henontech.com/fieldsafety/harzard/harzard_show.php?rid=12661&amp;url=harzardrecs.php" TargetMode="External"/><Relationship Id="rId_hyperlink_530" Type="http://schemas.openxmlformats.org/officeDocument/2006/relationships/hyperlink" Target="http://www.henontech.com/fieldsafety/harzard/harzard_show.php?rid=12667&amp;url=harzardrecs.php" TargetMode="External"/><Relationship Id="rId_hyperlink_531" Type="http://schemas.openxmlformats.org/officeDocument/2006/relationships/hyperlink" Target="http://www.henontech.com/fieldsafety/harzard/harzard_show.php?rid=12715&amp;url=harzardrecs.php" TargetMode="External"/><Relationship Id="rId_hyperlink_532" Type="http://schemas.openxmlformats.org/officeDocument/2006/relationships/hyperlink" Target="http://www.henontech.com/fieldsafety/harzard/harzard_show.php?rid=12717&amp;url=harzardrecs.php" TargetMode="External"/><Relationship Id="rId_hyperlink_533" Type="http://schemas.openxmlformats.org/officeDocument/2006/relationships/hyperlink" Target="http://www.henontech.com/fieldsafety/harzard/harzard_show.php?rid=12721&amp;url=harzardrecs.php" TargetMode="External"/><Relationship Id="rId_hyperlink_534" Type="http://schemas.openxmlformats.org/officeDocument/2006/relationships/hyperlink" Target="http://www.henontech.com/fieldsafety/harzard/harzard_show.php?rid=12722&amp;url=harzardrecs.php" TargetMode="External"/><Relationship Id="rId_hyperlink_535" Type="http://schemas.openxmlformats.org/officeDocument/2006/relationships/hyperlink" Target="http://www.henontech.com/fieldsafety/harzard/harzard_show.php?rid=12727&amp;url=harzardrecs.php" TargetMode="External"/><Relationship Id="rId_hyperlink_536" Type="http://schemas.openxmlformats.org/officeDocument/2006/relationships/hyperlink" Target="http://www.henontech.com/fieldsafety/harzard/harzard_show.php?rid=12742&amp;url=harzardrecs.php" TargetMode="External"/><Relationship Id="rId_hyperlink_537" Type="http://schemas.openxmlformats.org/officeDocument/2006/relationships/hyperlink" Target="http://www.henontech.com/fieldsafety/harzard/harzard_show.php?rid=12765&amp;url=harzardrecs.php" TargetMode="External"/><Relationship Id="rId_hyperlink_538" Type="http://schemas.openxmlformats.org/officeDocument/2006/relationships/hyperlink" Target="http://www.henontech.com/fieldsafety/harzard/harzard_show.php?rid=12785&amp;url=harzardrecs.php" TargetMode="External"/><Relationship Id="rId_hyperlink_539" Type="http://schemas.openxmlformats.org/officeDocument/2006/relationships/hyperlink" Target="http://www.henontech.com/fieldsafety/harzard/harzard_show.php?rid=12792&amp;url=harzardrecs.php" TargetMode="External"/><Relationship Id="rId_hyperlink_540" Type="http://schemas.openxmlformats.org/officeDocument/2006/relationships/hyperlink" Target="http://www.henontech.com/fieldsafety/harzard/harzard_show.php?rid=12873&amp;url=harzardrecs.php" TargetMode="External"/><Relationship Id="rId_hyperlink_541" Type="http://schemas.openxmlformats.org/officeDocument/2006/relationships/hyperlink" Target="http://www.henontech.com/fieldsafety/harzard/harzard_show.php?rid=12901&amp;url=harzardrecs.php" TargetMode="External"/><Relationship Id="rId_hyperlink_542" Type="http://schemas.openxmlformats.org/officeDocument/2006/relationships/hyperlink" Target="http://www.henontech.com/fieldsafety/harzard/harzard_show.php?rid=12917&amp;url=harzardrecs.php" TargetMode="External"/><Relationship Id="rId_hyperlink_543" Type="http://schemas.openxmlformats.org/officeDocument/2006/relationships/hyperlink" Target="http://www.henontech.com/fieldsafety/harzard/harzard_show.php?rid=12918&amp;url=harzardrecs.php" TargetMode="External"/><Relationship Id="rId_hyperlink_544" Type="http://schemas.openxmlformats.org/officeDocument/2006/relationships/hyperlink" Target="http://www.henontech.com/fieldsafety/harzard/harzard_show.php?rid=12919&amp;url=harzardrecs.php" TargetMode="External"/><Relationship Id="rId_hyperlink_545" Type="http://schemas.openxmlformats.org/officeDocument/2006/relationships/hyperlink" Target="http://www.henontech.com/fieldsafety/harzard/harzard_show.php?rid=12930&amp;url=harzardrecs.php" TargetMode="External"/><Relationship Id="rId_hyperlink_546" Type="http://schemas.openxmlformats.org/officeDocument/2006/relationships/hyperlink" Target="http://www.henontech.com/fieldsafety/harzard/harzard_show.php?rid=12977&amp;url=harzardrecs.php" TargetMode="External"/><Relationship Id="rId_hyperlink_547" Type="http://schemas.openxmlformats.org/officeDocument/2006/relationships/hyperlink" Target="http://www.henontech.com/fieldsafety/harzard/harzard_show.php?rid=13090&amp;url=harzardrecs.php" TargetMode="External"/><Relationship Id="rId_hyperlink_548" Type="http://schemas.openxmlformats.org/officeDocument/2006/relationships/hyperlink" Target="http://www.henontech.com/fieldsafety/harzard/harzard_show.php?rid=13105&amp;url=harzardrecs.php" TargetMode="External"/><Relationship Id="rId_hyperlink_549" Type="http://schemas.openxmlformats.org/officeDocument/2006/relationships/hyperlink" Target="http://www.henontech.com/fieldsafety/harzard/harzard_show.php?rid=13221&amp;url=harzardrecs.php" TargetMode="External"/><Relationship Id="rId_hyperlink_550" Type="http://schemas.openxmlformats.org/officeDocument/2006/relationships/hyperlink" Target="http://www.henontech.com/fieldsafety/harzard/harzard_show.php?rid=13229&amp;url=harzardrecs.php" TargetMode="External"/><Relationship Id="rId_hyperlink_551" Type="http://schemas.openxmlformats.org/officeDocument/2006/relationships/hyperlink" Target="http://www.henontech.com/fieldsafety/harzard/harzard_show.php?rid=13231&amp;url=harzardrecs.php" TargetMode="External"/><Relationship Id="rId_hyperlink_552" Type="http://schemas.openxmlformats.org/officeDocument/2006/relationships/hyperlink" Target="http://www.henontech.com/fieldsafety/harzard/harzard_show.php?rid=13251&amp;url=harzardrecs.php" TargetMode="External"/><Relationship Id="rId_hyperlink_553" Type="http://schemas.openxmlformats.org/officeDocument/2006/relationships/hyperlink" Target="http://www.henontech.com/fieldsafety/harzard/harzard_show.php?rid=13254&amp;url=harzardrecs.php" TargetMode="External"/><Relationship Id="rId_hyperlink_554" Type="http://schemas.openxmlformats.org/officeDocument/2006/relationships/hyperlink" Target="http://www.henontech.com/fieldsafety/harzard/harzard_show.php?rid=13257&amp;url=harzardrecs.php" TargetMode="External"/><Relationship Id="rId_hyperlink_555" Type="http://schemas.openxmlformats.org/officeDocument/2006/relationships/hyperlink" Target="http://www.henontech.com/fieldsafety/harzard/harzard_show.php?rid=13284&amp;url=harzardrecs.php" TargetMode="External"/><Relationship Id="rId_hyperlink_556" Type="http://schemas.openxmlformats.org/officeDocument/2006/relationships/hyperlink" Target="http://www.henontech.com/fieldsafety/harzard/harzard_show.php?rid=13290&amp;url=harzardrecs.php" TargetMode="External"/><Relationship Id="rId_hyperlink_557" Type="http://schemas.openxmlformats.org/officeDocument/2006/relationships/hyperlink" Target="http://www.henontech.com/fieldsafety/harzard/harzard_show.php?rid=13327&amp;url=harzardrecs.php" TargetMode="External"/><Relationship Id="rId_hyperlink_558" Type="http://schemas.openxmlformats.org/officeDocument/2006/relationships/hyperlink" Target="http://www.henontech.com/fieldsafety/harzard/harzard_show.php?rid=13328&amp;url=harzardrecs.php" TargetMode="External"/><Relationship Id="rId_hyperlink_559" Type="http://schemas.openxmlformats.org/officeDocument/2006/relationships/hyperlink" Target="http://www.henontech.com/fieldsafety/harzard/harzard_show.php?rid=13333&amp;url=harzardrecs.php" TargetMode="External"/><Relationship Id="rId_hyperlink_560" Type="http://schemas.openxmlformats.org/officeDocument/2006/relationships/hyperlink" Target="http://www.henontech.com/fieldsafety/harzard/harzard_show.php?rid=13336&amp;url=harzardrecs.php" TargetMode="External"/><Relationship Id="rId_hyperlink_561" Type="http://schemas.openxmlformats.org/officeDocument/2006/relationships/hyperlink" Target="http://www.henontech.com/fieldsafety/harzard/harzard_show.php?rid=13340&amp;url=harzardrecs.php" TargetMode="External"/><Relationship Id="rId_hyperlink_562" Type="http://schemas.openxmlformats.org/officeDocument/2006/relationships/hyperlink" Target="http://www.henontech.com/fieldsafety/harzard/harzard_show.php?rid=13343&amp;url=harzardrecs.php" TargetMode="External"/><Relationship Id="rId_hyperlink_563" Type="http://schemas.openxmlformats.org/officeDocument/2006/relationships/hyperlink" Target="http://www.henontech.com/fieldsafety/harzard/harzard_show.php?rid=13350&amp;url=harzardrecs.php" TargetMode="External"/><Relationship Id="rId_hyperlink_564" Type="http://schemas.openxmlformats.org/officeDocument/2006/relationships/hyperlink" Target="http://www.henontech.com/fieldsafety/harzard/harzard_show.php?rid=13351&amp;url=harzardrecs.php" TargetMode="External"/><Relationship Id="rId_hyperlink_565" Type="http://schemas.openxmlformats.org/officeDocument/2006/relationships/hyperlink" Target="http://www.henontech.com/fieldsafety/harzard/harzard_show.php?rid=13421&amp;url=harzardrecs.php" TargetMode="External"/><Relationship Id="rId_hyperlink_566" Type="http://schemas.openxmlformats.org/officeDocument/2006/relationships/hyperlink" Target="http://www.henontech.com/fieldsafety/harzard/harzard_show.php?rid=13570&amp;url=harzardrecs.php" TargetMode="External"/><Relationship Id="rId_hyperlink_567" Type="http://schemas.openxmlformats.org/officeDocument/2006/relationships/hyperlink" Target="http://www.henontech.com/fieldsafety/harzard/harzard_show.php?rid=13571&amp;url=harzardrecs.php" TargetMode="External"/><Relationship Id="rId_hyperlink_568" Type="http://schemas.openxmlformats.org/officeDocument/2006/relationships/hyperlink" Target="http://www.henontech.com/fieldsafety/harzard/harzard_show.php?rid=13617&amp;url=harzardrecs.php" TargetMode="External"/><Relationship Id="rId_hyperlink_569" Type="http://schemas.openxmlformats.org/officeDocument/2006/relationships/hyperlink" Target="http://www.henontech.com/fieldsafety/harzard/harzard_show.php?rid=13618&amp;url=harzardrecs.php" TargetMode="External"/><Relationship Id="rId_hyperlink_570" Type="http://schemas.openxmlformats.org/officeDocument/2006/relationships/hyperlink" Target="http://www.henontech.com/fieldsafety/harzard/harzard_show.php?rid=13709&amp;url=harzardrecs.php" TargetMode="External"/><Relationship Id="rId_hyperlink_571" Type="http://schemas.openxmlformats.org/officeDocument/2006/relationships/hyperlink" Target="http://www.henontech.com/fieldsafety/harzard/harzard_show.php?rid=13727&amp;url=harzardrecs.php" TargetMode="External"/><Relationship Id="rId_hyperlink_572" Type="http://schemas.openxmlformats.org/officeDocument/2006/relationships/hyperlink" Target="http://www.henontech.com/fieldsafety/harzard/harzard_show.php?rid=13734&amp;url=harzardrecs.php" TargetMode="External"/><Relationship Id="rId_hyperlink_573" Type="http://schemas.openxmlformats.org/officeDocument/2006/relationships/hyperlink" Target="http://www.henontech.com/fieldsafety/harzard/harzard_show.php?rid=13837&amp;url=harzardrecs.php" TargetMode="External"/><Relationship Id="rId_hyperlink_574" Type="http://schemas.openxmlformats.org/officeDocument/2006/relationships/hyperlink" Target="http://www.henontech.com/fieldsafety/harzard/harzard_show.php?rid=13845&amp;url=harzardrecs.php" TargetMode="External"/><Relationship Id="rId_hyperlink_575" Type="http://schemas.openxmlformats.org/officeDocument/2006/relationships/hyperlink" Target="http://www.henontech.com/fieldsafety/harzard/harzard_show.php?rid=13878&amp;url=harzardrecs.php" TargetMode="External"/><Relationship Id="rId_hyperlink_576" Type="http://schemas.openxmlformats.org/officeDocument/2006/relationships/hyperlink" Target="http://www.henontech.com/fieldsafety/harzard/harzard_show.php?rid=13892&amp;url=harzardrecs.php" TargetMode="External"/><Relationship Id="rId_hyperlink_577" Type="http://schemas.openxmlformats.org/officeDocument/2006/relationships/hyperlink" Target="http://www.henontech.com/fieldsafety/harzard/harzard_show.php?rid=14170&amp;url=harzardrecs.php" TargetMode="External"/><Relationship Id="rId_hyperlink_578" Type="http://schemas.openxmlformats.org/officeDocument/2006/relationships/hyperlink" Target="http://www.henontech.com/fieldsafety/harzard/harzard_show.php?rid=14215&amp;url=harzardrecs.php" TargetMode="External"/><Relationship Id="rId_hyperlink_579" Type="http://schemas.openxmlformats.org/officeDocument/2006/relationships/hyperlink" Target="http://www.henontech.com/fieldsafety/harzard/harzard_show.php?rid=14218&amp;url=harzardrecs.php" TargetMode="External"/><Relationship Id="rId_hyperlink_580" Type="http://schemas.openxmlformats.org/officeDocument/2006/relationships/hyperlink" Target="http://www.henontech.com/fieldsafety/harzard/harzard_show.php?rid=14223&amp;url=harzardrecs.php" TargetMode="External"/><Relationship Id="rId_hyperlink_581" Type="http://schemas.openxmlformats.org/officeDocument/2006/relationships/hyperlink" Target="http://www.henontech.com/fieldsafety/harzard/harzard_show.php?rid=14225&amp;url=harzardrecs.php" TargetMode="External"/><Relationship Id="rId_hyperlink_582" Type="http://schemas.openxmlformats.org/officeDocument/2006/relationships/hyperlink" Target="http://www.henontech.com/fieldsafety/harzard/harzard_show.php?rid=14226&amp;url=harzardrecs.php" TargetMode="External"/><Relationship Id="rId_hyperlink_583" Type="http://schemas.openxmlformats.org/officeDocument/2006/relationships/hyperlink" Target="http://www.henontech.com/fieldsafety/harzard/harzard_show.php?rid=14244&amp;url=harzardrecs.php" TargetMode="External"/><Relationship Id="rId_hyperlink_584" Type="http://schemas.openxmlformats.org/officeDocument/2006/relationships/hyperlink" Target="http://www.henontech.com/fieldsafety/harzard/harzard_show.php?rid=14268&amp;url=harzardrecs.php" TargetMode="External"/><Relationship Id="rId_hyperlink_585" Type="http://schemas.openxmlformats.org/officeDocument/2006/relationships/hyperlink" Target="http://www.henontech.com/fieldsafety/harzard/harzard_show.php?rid=14356&amp;url=harzardrecs.php" TargetMode="External"/><Relationship Id="rId_hyperlink_586" Type="http://schemas.openxmlformats.org/officeDocument/2006/relationships/hyperlink" Target="http://www.henontech.com/fieldsafety/harzard/harzard_show.php?rid=14396&amp;url=harzardrecs.php" TargetMode="External"/><Relationship Id="rId_hyperlink_587" Type="http://schemas.openxmlformats.org/officeDocument/2006/relationships/hyperlink" Target="http://www.henontech.com/fieldsafety/harzard/harzard_show.php?rid=14436&amp;url=harzardrecs.php" TargetMode="External"/><Relationship Id="rId_hyperlink_588" Type="http://schemas.openxmlformats.org/officeDocument/2006/relationships/hyperlink" Target="http://www.henontech.com/fieldsafety/harzard/harzard_show.php?rid=14446&amp;url=harzardrecs.php" TargetMode="External"/><Relationship Id="rId_hyperlink_589" Type="http://schemas.openxmlformats.org/officeDocument/2006/relationships/hyperlink" Target="http://www.henontech.com/fieldsafety/harzard/harzard_show.php?rid=14496&amp;url=harzardrecs.php" TargetMode="External"/><Relationship Id="rId_hyperlink_590" Type="http://schemas.openxmlformats.org/officeDocument/2006/relationships/hyperlink" Target="http://www.henontech.com/fieldsafety/harzard/harzard_show.php?rid=14509&amp;url=harzardrecs.php" TargetMode="External"/><Relationship Id="rId_hyperlink_591" Type="http://schemas.openxmlformats.org/officeDocument/2006/relationships/hyperlink" Target="http://www.henontech.com/fieldsafety/harzard/harzard_show.php?rid=14511&amp;url=harzardrecs.php" TargetMode="External"/><Relationship Id="rId_hyperlink_592" Type="http://schemas.openxmlformats.org/officeDocument/2006/relationships/hyperlink" Target="http://www.henontech.com/fieldsafety/harzard/harzard_show.php?rid=14512&amp;url=harzardrecs.php" TargetMode="External"/><Relationship Id="rId_hyperlink_593" Type="http://schemas.openxmlformats.org/officeDocument/2006/relationships/hyperlink" Target="http://www.henontech.com/fieldsafety/harzard/harzard_show.php?rid=14629&amp;url=harzardrecs.php" TargetMode="External"/><Relationship Id="rId_hyperlink_594" Type="http://schemas.openxmlformats.org/officeDocument/2006/relationships/hyperlink" Target="http://www.henontech.com/fieldsafety/harzard/harzard_show.php?rid=14646&amp;url=harzardrecs.php" TargetMode="External"/><Relationship Id="rId_hyperlink_595" Type="http://schemas.openxmlformats.org/officeDocument/2006/relationships/hyperlink" Target="http://www.henontech.com/fieldsafety/harzard/harzard_show.php?rid=14684&amp;url=harzardrecs.php" TargetMode="External"/><Relationship Id="rId_hyperlink_596" Type="http://schemas.openxmlformats.org/officeDocument/2006/relationships/hyperlink" Target="http://www.henontech.com/fieldsafety/harzard/harzard_show.php?rid=14711&amp;url=harzardrecs.php" TargetMode="External"/><Relationship Id="rId_hyperlink_597" Type="http://schemas.openxmlformats.org/officeDocument/2006/relationships/hyperlink" Target="http://www.henontech.com/fieldsafety/harzard/harzard_show.php?rid=14719&amp;url=harzardrecs.php" TargetMode="External"/><Relationship Id="rId_hyperlink_598" Type="http://schemas.openxmlformats.org/officeDocument/2006/relationships/hyperlink" Target="http://www.henontech.com/fieldsafety/harzard/harzard_show.php?rid=14720&amp;url=harzardrecs.php" TargetMode="External"/><Relationship Id="rId_hyperlink_599" Type="http://schemas.openxmlformats.org/officeDocument/2006/relationships/hyperlink" Target="http://www.henontech.com/fieldsafety/harzard/harzard_show.php?rid=14721&amp;url=harzardrecs.php" TargetMode="External"/><Relationship Id="rId_hyperlink_600" Type="http://schemas.openxmlformats.org/officeDocument/2006/relationships/hyperlink" Target="http://www.henontech.com/fieldsafety/harzard/harzard_show.php?rid=14746&amp;url=harzardrecs.php" TargetMode="External"/><Relationship Id="rId_hyperlink_601" Type="http://schemas.openxmlformats.org/officeDocument/2006/relationships/hyperlink" Target="http://www.henontech.com/fieldsafety/harzard/harzard_show.php?rid=14764&amp;url=harzardrecs.php" TargetMode="External"/><Relationship Id="rId_hyperlink_602" Type="http://schemas.openxmlformats.org/officeDocument/2006/relationships/hyperlink" Target="http://www.henontech.com/fieldsafety/harzard/harzard_show.php?rid=14809&amp;url=harzardrecs.php" TargetMode="External"/><Relationship Id="rId_hyperlink_603" Type="http://schemas.openxmlformats.org/officeDocument/2006/relationships/hyperlink" Target="http://www.henontech.com/fieldsafety/harzard/harzard_show.php?rid=14832&amp;url=harzardrecs.php" TargetMode="External"/><Relationship Id="rId_hyperlink_604" Type="http://schemas.openxmlformats.org/officeDocument/2006/relationships/hyperlink" Target="http://www.henontech.com/fieldsafety/harzard/harzard_show.php?rid=14833&amp;url=harzardrecs.php" TargetMode="External"/><Relationship Id="rId_hyperlink_605" Type="http://schemas.openxmlformats.org/officeDocument/2006/relationships/hyperlink" Target="http://www.henontech.com/fieldsafety/harzard/harzard_show.php?rid=14850&amp;url=harzardrecs.php" TargetMode="External"/><Relationship Id="rId_hyperlink_606" Type="http://schemas.openxmlformats.org/officeDocument/2006/relationships/hyperlink" Target="http://www.henontech.com/fieldsafety/harzard/harzard_show.php?rid=14855&amp;url=harzardrecs.php" TargetMode="External"/><Relationship Id="rId_hyperlink_607" Type="http://schemas.openxmlformats.org/officeDocument/2006/relationships/hyperlink" Target="http://www.henontech.com/fieldsafety/harzard/harzard_show.php?rid=14857&amp;url=harzardrecs.php" TargetMode="External"/><Relationship Id="rId_hyperlink_608" Type="http://schemas.openxmlformats.org/officeDocument/2006/relationships/hyperlink" Target="http://www.henontech.com/fieldsafety/harzard/harzard_show.php?rid=14859&amp;url=harzardrecs.php" TargetMode="External"/><Relationship Id="rId_hyperlink_609" Type="http://schemas.openxmlformats.org/officeDocument/2006/relationships/hyperlink" Target="http://www.henontech.com/fieldsafety/harzard/harzard_show.php?rid=14861&amp;url=harzardrecs.php" TargetMode="External"/><Relationship Id="rId_hyperlink_610" Type="http://schemas.openxmlformats.org/officeDocument/2006/relationships/hyperlink" Target="http://www.henontech.com/fieldsafety/harzard/harzard_show.php?rid=14876&amp;url=harzardrecs.php" TargetMode="External"/><Relationship Id="rId_hyperlink_611" Type="http://schemas.openxmlformats.org/officeDocument/2006/relationships/hyperlink" Target="http://www.henontech.com/fieldsafety/harzard/harzard_show.php?rid=14881&amp;url=harzardrecs.php" TargetMode="External"/><Relationship Id="rId_hyperlink_612" Type="http://schemas.openxmlformats.org/officeDocument/2006/relationships/hyperlink" Target="http://www.henontech.com/fieldsafety/harzard/harzard_show.php?rid=14889&amp;url=harzardrecs.php" TargetMode="External"/><Relationship Id="rId_hyperlink_613" Type="http://schemas.openxmlformats.org/officeDocument/2006/relationships/hyperlink" Target="http://www.henontech.com/fieldsafety/harzard/harzard_show.php?rid=14907&amp;url=harzardrecs.php" TargetMode="External"/><Relationship Id="rId_hyperlink_614" Type="http://schemas.openxmlformats.org/officeDocument/2006/relationships/hyperlink" Target="http://www.henontech.com/fieldsafety/harzard/harzard_show.php?rid=14929&amp;url=harzardrecs.php" TargetMode="External"/><Relationship Id="rId_hyperlink_615" Type="http://schemas.openxmlformats.org/officeDocument/2006/relationships/hyperlink" Target="http://www.henontech.com/fieldsafety/harzard/harzard_show.php?rid=14930&amp;url=harzardrecs.php" TargetMode="External"/><Relationship Id="rId_hyperlink_616" Type="http://schemas.openxmlformats.org/officeDocument/2006/relationships/hyperlink" Target="http://www.henontech.com/fieldsafety/harzard/harzard_show.php?rid=14931&amp;url=harzardrecs.php" TargetMode="External"/><Relationship Id="rId_hyperlink_617" Type="http://schemas.openxmlformats.org/officeDocument/2006/relationships/hyperlink" Target="http://www.henontech.com/fieldsafety/harzard/harzard_show.php?rid=14933&amp;url=harzardrecs.php" TargetMode="External"/><Relationship Id="rId_hyperlink_618" Type="http://schemas.openxmlformats.org/officeDocument/2006/relationships/hyperlink" Target="http://www.henontech.com/fieldsafety/harzard/harzard_show.php?rid=14934&amp;url=harzardrecs.php" TargetMode="External"/><Relationship Id="rId_hyperlink_619" Type="http://schemas.openxmlformats.org/officeDocument/2006/relationships/hyperlink" Target="http://www.henontech.com/fieldsafety/harzard/harzard_show.php?rid=14963&amp;url=harzardrecs.php" TargetMode="External"/><Relationship Id="rId_hyperlink_620" Type="http://schemas.openxmlformats.org/officeDocument/2006/relationships/hyperlink" Target="http://www.henontech.com/fieldsafety/harzard/harzard_show.php?rid=14964&amp;url=harzardrecs.php" TargetMode="External"/><Relationship Id="rId_hyperlink_621" Type="http://schemas.openxmlformats.org/officeDocument/2006/relationships/hyperlink" Target="http://www.henontech.com/fieldsafety/harzard/harzard_show.php?rid=14970&amp;url=harzardrecs.php" TargetMode="External"/><Relationship Id="rId_hyperlink_622" Type="http://schemas.openxmlformats.org/officeDocument/2006/relationships/hyperlink" Target="http://www.henontech.com/fieldsafety/harzard/harzard_show.php?rid=14978&amp;url=harzardrecs.php" TargetMode="External"/><Relationship Id="rId_hyperlink_623" Type="http://schemas.openxmlformats.org/officeDocument/2006/relationships/hyperlink" Target="http://www.henontech.com/fieldsafety/harzard/harzard_show.php?rid=14995&amp;url=harzardrecs.php" TargetMode="External"/><Relationship Id="rId_hyperlink_624" Type="http://schemas.openxmlformats.org/officeDocument/2006/relationships/hyperlink" Target="http://www.henontech.com/fieldsafety/harzard/harzard_show.php?rid=14997&amp;url=harzardrecs.php" TargetMode="External"/><Relationship Id="rId_hyperlink_625" Type="http://schemas.openxmlformats.org/officeDocument/2006/relationships/hyperlink" Target="http://www.henontech.com/fieldsafety/harzard/harzard_show.php?rid=15042&amp;url=harzardrecs.php" TargetMode="External"/><Relationship Id="rId_hyperlink_626" Type="http://schemas.openxmlformats.org/officeDocument/2006/relationships/hyperlink" Target="http://www.henontech.com/fieldsafety/harzard/harzard_show.php?rid=15045&amp;url=harzardrecs.php" TargetMode="External"/><Relationship Id="rId_hyperlink_627" Type="http://schemas.openxmlformats.org/officeDocument/2006/relationships/hyperlink" Target="http://www.henontech.com/fieldsafety/harzard/harzard_show.php?rid=15115&amp;url=harzardrecs.php" TargetMode="External"/><Relationship Id="rId_hyperlink_628" Type="http://schemas.openxmlformats.org/officeDocument/2006/relationships/hyperlink" Target="http://www.henontech.com/fieldsafety/harzard/harzard_show.php?rid=15187&amp;url=harzardrecs.php" TargetMode="External"/><Relationship Id="rId_hyperlink_629" Type="http://schemas.openxmlformats.org/officeDocument/2006/relationships/hyperlink" Target="http://www.henontech.com/fieldsafety/harzard/harzard_show.php?rid=15188&amp;url=harzardrecs.php" TargetMode="External"/><Relationship Id="rId_hyperlink_630" Type="http://schemas.openxmlformats.org/officeDocument/2006/relationships/hyperlink" Target="http://www.henontech.com/fieldsafety/harzard/harzard_show.php?rid=15197&amp;url=harzardrecs.php" TargetMode="External"/><Relationship Id="rId_hyperlink_631" Type="http://schemas.openxmlformats.org/officeDocument/2006/relationships/hyperlink" Target="http://www.henontech.com/fieldsafety/harzard/harzard_show.php?rid=15202&amp;url=harzardrecs.php" TargetMode="External"/><Relationship Id="rId_hyperlink_632" Type="http://schemas.openxmlformats.org/officeDocument/2006/relationships/hyperlink" Target="http://www.henontech.com/fieldsafety/harzard/harzard_show.php?rid=15236&amp;url=harzardrecs.php" TargetMode="External"/><Relationship Id="rId_hyperlink_633" Type="http://schemas.openxmlformats.org/officeDocument/2006/relationships/hyperlink" Target="http://www.henontech.com/fieldsafety/harzard/harzard_show.php?rid=15242&amp;url=harzardrecs.php" TargetMode="External"/><Relationship Id="rId_hyperlink_634" Type="http://schemas.openxmlformats.org/officeDocument/2006/relationships/hyperlink" Target="http://www.henontech.com/fieldsafety/harzard/harzard_show.php?rid=15248&amp;url=harzardrecs.php" TargetMode="External"/><Relationship Id="rId_hyperlink_635" Type="http://schemas.openxmlformats.org/officeDocument/2006/relationships/hyperlink" Target="http://www.henontech.com/fieldsafety/harzard/harzard_show.php?rid=15257&amp;url=harzardrecs.php" TargetMode="External"/><Relationship Id="rId_hyperlink_636" Type="http://schemas.openxmlformats.org/officeDocument/2006/relationships/hyperlink" Target="http://www.henontech.com/fieldsafety/harzard/harzard_show.php?rid=15293&amp;url=harzardrecs.php" TargetMode="External"/><Relationship Id="rId_hyperlink_637" Type="http://schemas.openxmlformats.org/officeDocument/2006/relationships/hyperlink" Target="http://www.henontech.com/fieldsafety/harzard/harzard_show.php?rid=15311&amp;url=harzardrecs.php" TargetMode="External"/><Relationship Id="rId_hyperlink_638" Type="http://schemas.openxmlformats.org/officeDocument/2006/relationships/hyperlink" Target="http://www.henontech.com/fieldsafety/harzard/harzard_show.php?rid=15315&amp;url=harzardrecs.php" TargetMode="External"/><Relationship Id="rId_hyperlink_639" Type="http://schemas.openxmlformats.org/officeDocument/2006/relationships/hyperlink" Target="http://www.henontech.com/fieldsafety/harzard/harzard_show.php?rid=15352&amp;url=harzardrecs.php" TargetMode="External"/><Relationship Id="rId_hyperlink_640" Type="http://schemas.openxmlformats.org/officeDocument/2006/relationships/hyperlink" Target="http://www.henontech.com/fieldsafety/harzard/harzard_show.php?rid=15377&amp;url=harzardrecs.php" TargetMode="External"/><Relationship Id="rId_hyperlink_641" Type="http://schemas.openxmlformats.org/officeDocument/2006/relationships/hyperlink" Target="http://www.henontech.com/fieldsafety/harzard/harzard_show.php?rid=15404&amp;url=harzardrecs.php" TargetMode="External"/><Relationship Id="rId_hyperlink_642" Type="http://schemas.openxmlformats.org/officeDocument/2006/relationships/hyperlink" Target="http://www.henontech.com/fieldsafety/harzard/harzard_show.php?rid=15431&amp;url=harzardrecs.php" TargetMode="External"/><Relationship Id="rId_hyperlink_643" Type="http://schemas.openxmlformats.org/officeDocument/2006/relationships/hyperlink" Target="http://www.henontech.com/fieldsafety/harzard/harzard_show.php?rid=15500&amp;url=harzardrecs.php" TargetMode="External"/><Relationship Id="rId_hyperlink_644" Type="http://schemas.openxmlformats.org/officeDocument/2006/relationships/hyperlink" Target="http://www.henontech.com/fieldsafety/harzard/harzard_show.php?rid=15501&amp;url=harzardrecs.php" TargetMode="External"/><Relationship Id="rId_hyperlink_645" Type="http://schemas.openxmlformats.org/officeDocument/2006/relationships/hyperlink" Target="http://www.henontech.com/fieldsafety/harzard/harzard_show.php?rid=15513&amp;url=harzardrecs.php" TargetMode="External"/><Relationship Id="rId_hyperlink_646" Type="http://schemas.openxmlformats.org/officeDocument/2006/relationships/hyperlink" Target="http://www.henontech.com/fieldsafety/harzard/harzard_show.php?rid=15531&amp;url=harzardrecs.php" TargetMode="External"/><Relationship Id="rId_hyperlink_647" Type="http://schemas.openxmlformats.org/officeDocument/2006/relationships/hyperlink" Target="http://www.henontech.com/fieldsafety/harzard/harzard_show.php?rid=15550&amp;url=harzardrecs.php" TargetMode="External"/><Relationship Id="rId_hyperlink_648" Type="http://schemas.openxmlformats.org/officeDocument/2006/relationships/hyperlink" Target="http://www.henontech.com/fieldsafety/harzard/harzard_show.php?rid=15556&amp;url=harzardrecs.php" TargetMode="External"/><Relationship Id="rId_hyperlink_649" Type="http://schemas.openxmlformats.org/officeDocument/2006/relationships/hyperlink" Target="http://www.henontech.com/fieldsafety/harzard/harzard_show.php?rid=15564&amp;url=harzardrecs.php" TargetMode="External"/><Relationship Id="rId_hyperlink_650" Type="http://schemas.openxmlformats.org/officeDocument/2006/relationships/hyperlink" Target="http://www.henontech.com/fieldsafety/harzard/harzard_show.php?rid=15566&amp;url=harzardrecs.php" TargetMode="External"/><Relationship Id="rId_hyperlink_651" Type="http://schemas.openxmlformats.org/officeDocument/2006/relationships/hyperlink" Target="http://www.henontech.com/fieldsafety/harzard/harzard_show.php?rid=15567&amp;url=harzardrecs.php" TargetMode="External"/><Relationship Id="rId_hyperlink_652" Type="http://schemas.openxmlformats.org/officeDocument/2006/relationships/hyperlink" Target="http://www.henontech.com/fieldsafety/harzard/harzard_show.php?rid=15625&amp;url=harzardrecs.php" TargetMode="External"/><Relationship Id="rId_hyperlink_653" Type="http://schemas.openxmlformats.org/officeDocument/2006/relationships/hyperlink" Target="http://www.henontech.com/fieldsafety/harzard/harzard_show.php?rid=15647&amp;url=harzardrecs.php" TargetMode="External"/><Relationship Id="rId_hyperlink_654" Type="http://schemas.openxmlformats.org/officeDocument/2006/relationships/hyperlink" Target="http://www.henontech.com/fieldsafety/harzard/harzard_show.php?rid=15663&amp;url=harzardrecs.php" TargetMode="External"/><Relationship Id="rId_hyperlink_655" Type="http://schemas.openxmlformats.org/officeDocument/2006/relationships/hyperlink" Target="http://www.henontech.com/fieldsafety/harzard/harzard_show.php?rid=15665&amp;url=harzardrecs.php" TargetMode="External"/><Relationship Id="rId_hyperlink_656" Type="http://schemas.openxmlformats.org/officeDocument/2006/relationships/hyperlink" Target="http://www.henontech.com/fieldsafety/harzard/harzard_show.php?rid=15666&amp;url=harzardrecs.php" TargetMode="External"/><Relationship Id="rId_hyperlink_657" Type="http://schemas.openxmlformats.org/officeDocument/2006/relationships/hyperlink" Target="http://www.henontech.com/fieldsafety/harzard/harzard_show.php?rid=15672&amp;url=harzardrecs.php" TargetMode="External"/><Relationship Id="rId_hyperlink_658" Type="http://schemas.openxmlformats.org/officeDocument/2006/relationships/hyperlink" Target="http://www.henontech.com/fieldsafety/harzard/harzard_show.php?rid=15673&amp;url=harzardrecs.php" TargetMode="External"/><Relationship Id="rId_hyperlink_659" Type="http://schemas.openxmlformats.org/officeDocument/2006/relationships/hyperlink" Target="http://www.henontech.com/fieldsafety/harzard/harzard_show.php?rid=15688&amp;url=harzardrecs.php" TargetMode="External"/><Relationship Id="rId_hyperlink_660" Type="http://schemas.openxmlformats.org/officeDocument/2006/relationships/hyperlink" Target="http://www.henontech.com/fieldsafety/harzard/harzard_show.php?rid=15726&amp;url=harzardrecs.php" TargetMode="External"/><Relationship Id="rId_hyperlink_661" Type="http://schemas.openxmlformats.org/officeDocument/2006/relationships/hyperlink" Target="http://www.henontech.com/fieldsafety/harzard/harzard_show.php?rid=15766&amp;url=harzardrecs.php" TargetMode="External"/><Relationship Id="rId_hyperlink_662" Type="http://schemas.openxmlformats.org/officeDocument/2006/relationships/hyperlink" Target="http://www.henontech.com/fieldsafety/harzard/harzard_show.php?rid=15796&amp;url=harzardrecs.php" TargetMode="External"/><Relationship Id="rId_hyperlink_663" Type="http://schemas.openxmlformats.org/officeDocument/2006/relationships/hyperlink" Target="http://www.henontech.com/fieldsafety/harzard/harzard_show.php?rid=15855&amp;url=harzardrecs.php" TargetMode="External"/><Relationship Id="rId_hyperlink_664" Type="http://schemas.openxmlformats.org/officeDocument/2006/relationships/hyperlink" Target="http://www.henontech.com/fieldsafety/harzard/harzard_show.php?rid=15885&amp;url=harzardrecs.php" TargetMode="External"/><Relationship Id="rId_hyperlink_665" Type="http://schemas.openxmlformats.org/officeDocument/2006/relationships/hyperlink" Target="http://www.henontech.com/fieldsafety/harzard/harzard_show.php?rid=15889&amp;url=harzardrecs.php" TargetMode="External"/><Relationship Id="rId_hyperlink_666" Type="http://schemas.openxmlformats.org/officeDocument/2006/relationships/hyperlink" Target="http://www.henontech.com/fieldsafety/harzard/harzard_show.php?rid=15891&amp;url=harzardrecs.php" TargetMode="External"/><Relationship Id="rId_hyperlink_667" Type="http://schemas.openxmlformats.org/officeDocument/2006/relationships/hyperlink" Target="http://www.henontech.com/fieldsafety/harzard/harzard_show.php?rid=15916&amp;url=harzardrecs.php" TargetMode="External"/><Relationship Id="rId_hyperlink_668" Type="http://schemas.openxmlformats.org/officeDocument/2006/relationships/hyperlink" Target="http://www.henontech.com/fieldsafety/harzard/harzard_show.php?rid=15945&amp;url=harzardrecs.php" TargetMode="External"/><Relationship Id="rId_hyperlink_669" Type="http://schemas.openxmlformats.org/officeDocument/2006/relationships/hyperlink" Target="http://www.henontech.com/fieldsafety/harzard/harzard_show.php?rid=15948&amp;url=harzardrecs.php" TargetMode="External"/><Relationship Id="rId_hyperlink_670" Type="http://schemas.openxmlformats.org/officeDocument/2006/relationships/hyperlink" Target="http://www.henontech.com/fieldsafety/harzard/harzard_show.php?rid=15950&amp;url=harzardrecs.php" TargetMode="External"/><Relationship Id="rId_hyperlink_671" Type="http://schemas.openxmlformats.org/officeDocument/2006/relationships/hyperlink" Target="http://www.henontech.com/fieldsafety/harzard/harzard_show.php?rid=15963&amp;url=harzardrecs.php" TargetMode="External"/><Relationship Id="rId_hyperlink_672" Type="http://schemas.openxmlformats.org/officeDocument/2006/relationships/hyperlink" Target="http://www.henontech.com/fieldsafety/harzard/harzard_show.php?rid=15964&amp;url=harzardrecs.php" TargetMode="External"/><Relationship Id="rId_hyperlink_673" Type="http://schemas.openxmlformats.org/officeDocument/2006/relationships/hyperlink" Target="http://www.henontech.com/fieldsafety/harzard/harzard_show.php?rid=15965&amp;url=harzardrecs.php" TargetMode="External"/><Relationship Id="rId_hyperlink_674" Type="http://schemas.openxmlformats.org/officeDocument/2006/relationships/hyperlink" Target="http://www.henontech.com/fieldsafety/harzard/harzard_show.php?rid=15969&amp;url=harzardrecs.php" TargetMode="External"/><Relationship Id="rId_hyperlink_675" Type="http://schemas.openxmlformats.org/officeDocument/2006/relationships/hyperlink" Target="http://www.henontech.com/fieldsafety/harzard/harzard_show.php?rid=15977&amp;url=harzardrecs.php" TargetMode="External"/><Relationship Id="rId_hyperlink_676" Type="http://schemas.openxmlformats.org/officeDocument/2006/relationships/hyperlink" Target="http://www.henontech.com/fieldsafety/harzard/harzard_show.php?rid=15988&amp;url=harzardrecs.php" TargetMode="External"/><Relationship Id="rId_hyperlink_677" Type="http://schemas.openxmlformats.org/officeDocument/2006/relationships/hyperlink" Target="http://www.henontech.com/fieldsafety/harzard/harzard_show.php?rid=16001&amp;url=harzardrecs.php" TargetMode="External"/><Relationship Id="rId_hyperlink_678" Type="http://schemas.openxmlformats.org/officeDocument/2006/relationships/hyperlink" Target="http://www.henontech.com/fieldsafety/harzard/harzard_show.php?rid=16003&amp;url=harzardrecs.php" TargetMode="External"/><Relationship Id="rId_hyperlink_679" Type="http://schemas.openxmlformats.org/officeDocument/2006/relationships/hyperlink" Target="http://www.henontech.com/fieldsafety/harzard/harzard_show.php?rid=16004&amp;url=harzardrecs.php" TargetMode="External"/><Relationship Id="rId_hyperlink_680" Type="http://schemas.openxmlformats.org/officeDocument/2006/relationships/hyperlink" Target="http://www.henontech.com/fieldsafety/harzard/harzard_show.php?rid=16005&amp;url=harzardrecs.php" TargetMode="External"/><Relationship Id="rId_hyperlink_681" Type="http://schemas.openxmlformats.org/officeDocument/2006/relationships/hyperlink" Target="http://www.henontech.com/fieldsafety/harzard/harzard_show.php?rid=16008&amp;url=harzardrecs.php" TargetMode="External"/><Relationship Id="rId_hyperlink_682" Type="http://schemas.openxmlformats.org/officeDocument/2006/relationships/hyperlink" Target="http://www.henontech.com/fieldsafety/harzard/harzard_show.php?rid=16009&amp;url=harzardrecs.php" TargetMode="External"/><Relationship Id="rId_hyperlink_683" Type="http://schemas.openxmlformats.org/officeDocument/2006/relationships/hyperlink" Target="http://www.henontech.com/fieldsafety/harzard/harzard_show.php?rid=16014&amp;url=harzardrecs.php" TargetMode="External"/><Relationship Id="rId_hyperlink_684" Type="http://schemas.openxmlformats.org/officeDocument/2006/relationships/hyperlink" Target="http://www.henontech.com/fieldsafety/harzard/harzard_show.php?rid=16032&amp;url=harzardrecs.php" TargetMode="External"/><Relationship Id="rId_hyperlink_685" Type="http://schemas.openxmlformats.org/officeDocument/2006/relationships/hyperlink" Target="http://www.henontech.com/fieldsafety/harzard/harzard_show.php?rid=16035&amp;url=harzardrecs.php" TargetMode="External"/><Relationship Id="rId_hyperlink_686" Type="http://schemas.openxmlformats.org/officeDocument/2006/relationships/hyperlink" Target="http://www.henontech.com/fieldsafety/harzard/harzard_show.php?rid=16036&amp;url=harzardrecs.php" TargetMode="External"/><Relationship Id="rId_hyperlink_687" Type="http://schemas.openxmlformats.org/officeDocument/2006/relationships/hyperlink" Target="http://www.henontech.com/fieldsafety/harzard/harzard_show.php?rid=16038&amp;url=harzardrecs.php" TargetMode="External"/><Relationship Id="rId_hyperlink_688" Type="http://schemas.openxmlformats.org/officeDocument/2006/relationships/hyperlink" Target="http://www.henontech.com/fieldsafety/harzard/harzard_show.php?rid=16050&amp;url=harzardrecs.php" TargetMode="External"/><Relationship Id="rId_hyperlink_689" Type="http://schemas.openxmlformats.org/officeDocument/2006/relationships/hyperlink" Target="http://www.henontech.com/fieldsafety/harzard/harzard_show.php?rid=16052&amp;url=harzardrecs.php" TargetMode="External"/><Relationship Id="rId_hyperlink_690" Type="http://schemas.openxmlformats.org/officeDocument/2006/relationships/hyperlink" Target="http://www.henontech.com/fieldsafety/harzard/harzard_show.php?rid=16092&amp;url=harzardrecs.php" TargetMode="External"/><Relationship Id="rId_hyperlink_691" Type="http://schemas.openxmlformats.org/officeDocument/2006/relationships/hyperlink" Target="http://www.henontech.com/fieldsafety/harzard/harzard_show.php?rid=16187&amp;url=harzardrecs.php" TargetMode="External"/><Relationship Id="rId_hyperlink_692" Type="http://schemas.openxmlformats.org/officeDocument/2006/relationships/hyperlink" Target="http://www.henontech.com/fieldsafety/harzard/harzard_show.php?rid=16196&amp;url=harzardrecs.php" TargetMode="External"/><Relationship Id="rId_hyperlink_693" Type="http://schemas.openxmlformats.org/officeDocument/2006/relationships/hyperlink" Target="http://www.henontech.com/fieldsafety/harzard/harzard_show.php?rid=16201&amp;url=harzardrecs.php" TargetMode="External"/><Relationship Id="rId_hyperlink_694" Type="http://schemas.openxmlformats.org/officeDocument/2006/relationships/hyperlink" Target="http://www.henontech.com/fieldsafety/harzard/harzard_show.php?rid=16214&amp;url=harzardrecs.php" TargetMode="External"/><Relationship Id="rId_hyperlink_695" Type="http://schemas.openxmlformats.org/officeDocument/2006/relationships/hyperlink" Target="http://www.henontech.com/fieldsafety/harzard/harzard_show.php?rid=16215&amp;url=harzardrecs.php" TargetMode="External"/><Relationship Id="rId_hyperlink_696" Type="http://schemas.openxmlformats.org/officeDocument/2006/relationships/hyperlink" Target="http://www.henontech.com/fieldsafety/harzard/harzard_show.php?rid=16216&amp;url=harzardrecs.php" TargetMode="External"/><Relationship Id="rId_hyperlink_697" Type="http://schemas.openxmlformats.org/officeDocument/2006/relationships/hyperlink" Target="http://www.henontech.com/fieldsafety/harzard/harzard_show.php?rid=16218&amp;url=harzardrecs.php" TargetMode="External"/><Relationship Id="rId_hyperlink_698" Type="http://schemas.openxmlformats.org/officeDocument/2006/relationships/hyperlink" Target="http://www.henontech.com/fieldsafety/harzard/harzard_show.php?rid=16220&amp;url=harzardrecs.php" TargetMode="External"/><Relationship Id="rId_hyperlink_699" Type="http://schemas.openxmlformats.org/officeDocument/2006/relationships/hyperlink" Target="http://www.henontech.com/fieldsafety/harzard/harzard_show.php?rid=16232&amp;url=harzardrecs.php" TargetMode="External"/><Relationship Id="rId_hyperlink_700" Type="http://schemas.openxmlformats.org/officeDocument/2006/relationships/hyperlink" Target="http://www.henontech.com/fieldsafety/harzard/harzard_show.php?rid=16237&amp;url=harzardrecs.php" TargetMode="External"/><Relationship Id="rId_hyperlink_701" Type="http://schemas.openxmlformats.org/officeDocument/2006/relationships/hyperlink" Target="http://www.henontech.com/fieldsafety/harzard/harzard_show.php?rid=16239&amp;url=harzardrecs.php" TargetMode="External"/><Relationship Id="rId_hyperlink_702" Type="http://schemas.openxmlformats.org/officeDocument/2006/relationships/hyperlink" Target="http://www.henontech.com/fieldsafety/harzard/harzard_show.php?rid=16240&amp;url=harzardrecs.php" TargetMode="External"/><Relationship Id="rId_hyperlink_703" Type="http://schemas.openxmlformats.org/officeDocument/2006/relationships/hyperlink" Target="http://www.henontech.com/fieldsafety/harzard/harzard_show.php?rid=16241&amp;url=harzardrecs.php" TargetMode="External"/><Relationship Id="rId_hyperlink_704" Type="http://schemas.openxmlformats.org/officeDocument/2006/relationships/hyperlink" Target="http://www.henontech.com/fieldsafety/harzard/harzard_show.php?rid=16242&amp;url=harzardrecs.php" TargetMode="External"/><Relationship Id="rId_hyperlink_705" Type="http://schemas.openxmlformats.org/officeDocument/2006/relationships/hyperlink" Target="http://www.henontech.com/fieldsafety/harzard/harzard_show.php?rid=16243&amp;url=harzardrecs.php" TargetMode="External"/><Relationship Id="rId_hyperlink_706" Type="http://schemas.openxmlformats.org/officeDocument/2006/relationships/hyperlink" Target="http://www.henontech.com/fieldsafety/harzard/harzard_show.php?rid=16285&amp;url=harzardrecs.php" TargetMode="External"/><Relationship Id="rId_hyperlink_707" Type="http://schemas.openxmlformats.org/officeDocument/2006/relationships/hyperlink" Target="http://www.henontech.com/fieldsafety/harzard/harzard_show.php?rid=16291&amp;url=harzardrecs.php" TargetMode="External"/><Relationship Id="rId_hyperlink_708" Type="http://schemas.openxmlformats.org/officeDocument/2006/relationships/hyperlink" Target="http://www.henontech.com/fieldsafety/harzard/harzard_show.php?rid=16292&amp;url=harzardrecs.php" TargetMode="External"/><Relationship Id="rId_hyperlink_709" Type="http://schemas.openxmlformats.org/officeDocument/2006/relationships/hyperlink" Target="http://www.henontech.com/fieldsafety/harzard/harzard_show.php?rid=16294&amp;url=harzardrecs.php" TargetMode="External"/><Relationship Id="rId_hyperlink_710" Type="http://schemas.openxmlformats.org/officeDocument/2006/relationships/hyperlink" Target="http://www.henontech.com/fieldsafety/harzard/harzard_show.php?rid=16311&amp;url=harzardrecs.php" TargetMode="External"/><Relationship Id="rId_hyperlink_711" Type="http://schemas.openxmlformats.org/officeDocument/2006/relationships/hyperlink" Target="http://www.henontech.com/fieldsafety/harzard/harzard_show.php?rid=16378&amp;url=harzardrecs.php" TargetMode="External"/><Relationship Id="rId_hyperlink_712" Type="http://schemas.openxmlformats.org/officeDocument/2006/relationships/hyperlink" Target="http://www.henontech.com/fieldsafety/harzard/harzard_show.php?rid=16477&amp;url=harzardrecs.php" TargetMode="External"/><Relationship Id="rId_hyperlink_713" Type="http://schemas.openxmlformats.org/officeDocument/2006/relationships/hyperlink" Target="http://www.henontech.com/fieldsafety/harzard/harzard_show.php?rid=16478&amp;url=harzardrecs.php" TargetMode="External"/><Relationship Id="rId_hyperlink_714" Type="http://schemas.openxmlformats.org/officeDocument/2006/relationships/hyperlink" Target="http://www.henontech.com/fieldsafety/harzard/harzard_show.php?rid=16479&amp;url=harzardrecs.php" TargetMode="External"/><Relationship Id="rId_hyperlink_715" Type="http://schemas.openxmlformats.org/officeDocument/2006/relationships/hyperlink" Target="http://www.henontech.com/fieldsafety/harzard/harzard_show.php?rid=16492&amp;url=harzardrecs.php" TargetMode="External"/><Relationship Id="rId_hyperlink_716" Type="http://schemas.openxmlformats.org/officeDocument/2006/relationships/hyperlink" Target="http://www.henontech.com/fieldsafety/harzard/harzard_show.php?rid=16499&amp;url=harzardrecs.php" TargetMode="External"/><Relationship Id="rId_hyperlink_717" Type="http://schemas.openxmlformats.org/officeDocument/2006/relationships/hyperlink" Target="http://www.henontech.com/fieldsafety/harzard/harzard_show.php?rid=16523&amp;url=harzardrecs.php" TargetMode="External"/><Relationship Id="rId_hyperlink_718" Type="http://schemas.openxmlformats.org/officeDocument/2006/relationships/hyperlink" Target="http://www.henontech.com/fieldsafety/harzard/harzard_show.php?rid=16532&amp;url=harzardrecs.php" TargetMode="External"/><Relationship Id="rId_hyperlink_719" Type="http://schemas.openxmlformats.org/officeDocument/2006/relationships/hyperlink" Target="http://www.henontech.com/fieldsafety/harzard/harzard_show.php?rid=16636&amp;url=harzardrecs.php" TargetMode="External"/><Relationship Id="rId_hyperlink_720" Type="http://schemas.openxmlformats.org/officeDocument/2006/relationships/hyperlink" Target="http://www.henontech.com/fieldsafety/harzard/harzard_show.php?rid=16670&amp;url=harzardrecs.php" TargetMode="External"/><Relationship Id="rId_hyperlink_721" Type="http://schemas.openxmlformats.org/officeDocument/2006/relationships/hyperlink" Target="http://www.henontech.com/fieldsafety/harzard/harzard_show.php?rid=16722&amp;url=harzardrecs.php" TargetMode="External"/><Relationship Id="rId_hyperlink_722" Type="http://schemas.openxmlformats.org/officeDocument/2006/relationships/hyperlink" Target="http://www.henontech.com/fieldsafety/harzard/harzard_show.php?rid=16744&amp;url=harzardrecs.php" TargetMode="External"/><Relationship Id="rId_hyperlink_723" Type="http://schemas.openxmlformats.org/officeDocument/2006/relationships/hyperlink" Target="http://www.henontech.com/fieldsafety/harzard/harzard_show.php?rid=16776&amp;url=harzardrecs.php" TargetMode="External"/><Relationship Id="rId_hyperlink_724" Type="http://schemas.openxmlformats.org/officeDocument/2006/relationships/hyperlink" Target="http://www.henontech.com/fieldsafety/harzard/harzard_show.php?rid=16808&amp;url=harzardrecs.php" TargetMode="External"/><Relationship Id="rId_hyperlink_725" Type="http://schemas.openxmlformats.org/officeDocument/2006/relationships/hyperlink" Target="http://www.henontech.com/fieldsafety/harzard/harzard_show.php?rid=16813&amp;url=harzardrecs.php" TargetMode="External"/><Relationship Id="rId_hyperlink_726" Type="http://schemas.openxmlformats.org/officeDocument/2006/relationships/hyperlink" Target="http://www.henontech.com/fieldsafety/harzard/harzard_show.php?rid=16814&amp;url=harzardrecs.php" TargetMode="External"/><Relationship Id="rId_hyperlink_727" Type="http://schemas.openxmlformats.org/officeDocument/2006/relationships/hyperlink" Target="http://www.henontech.com/fieldsafety/harzard/harzard_show.php?rid=16832&amp;url=harzardrecs.php" TargetMode="External"/><Relationship Id="rId_hyperlink_728" Type="http://schemas.openxmlformats.org/officeDocument/2006/relationships/hyperlink" Target="http://www.henontech.com/fieldsafety/harzard/harzard_show.php?rid=16873&amp;url=harzardrecs.php" TargetMode="External"/><Relationship Id="rId_hyperlink_729" Type="http://schemas.openxmlformats.org/officeDocument/2006/relationships/hyperlink" Target="http://www.henontech.com/fieldsafety/harzard/harzard_show.php?rid=16876&amp;url=harzardrecs.php" TargetMode="External"/><Relationship Id="rId_hyperlink_730" Type="http://schemas.openxmlformats.org/officeDocument/2006/relationships/hyperlink" Target="http://www.henontech.com/fieldsafety/harzard/harzard_show.php?rid=16887&amp;url=harzardrecs.php" TargetMode="External"/><Relationship Id="rId_hyperlink_731" Type="http://schemas.openxmlformats.org/officeDocument/2006/relationships/hyperlink" Target="http://www.henontech.com/fieldsafety/harzard/harzard_show.php?rid=16893&amp;url=harzardrecs.php" TargetMode="External"/><Relationship Id="rId_hyperlink_732" Type="http://schemas.openxmlformats.org/officeDocument/2006/relationships/hyperlink" Target="http://www.henontech.com/fieldsafety/harzard/harzard_show.php?rid=16894&amp;url=harzardrecs.php" TargetMode="External"/><Relationship Id="rId_hyperlink_733" Type="http://schemas.openxmlformats.org/officeDocument/2006/relationships/hyperlink" Target="http://www.henontech.com/fieldsafety/harzard/harzard_show.php?rid=16899&amp;url=harzardrecs.php" TargetMode="External"/><Relationship Id="rId_hyperlink_734" Type="http://schemas.openxmlformats.org/officeDocument/2006/relationships/hyperlink" Target="http://www.henontech.com/fieldsafety/harzard/harzard_show.php?rid=16905&amp;url=harzardrecs.php" TargetMode="External"/><Relationship Id="rId_hyperlink_735" Type="http://schemas.openxmlformats.org/officeDocument/2006/relationships/hyperlink" Target="http://www.henontech.com/fieldsafety/harzard/harzard_show.php?rid=16907&amp;url=harzardrecs.php" TargetMode="External"/><Relationship Id="rId_hyperlink_736" Type="http://schemas.openxmlformats.org/officeDocument/2006/relationships/hyperlink" Target="http://www.henontech.com/fieldsafety/harzard/harzard_show.php?rid=16912&amp;url=harzardrecs.ph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741"/>
  <sheetViews>
    <sheetView tabSelected="1" workbookViewId="0" showGridLines="true" showRowColHeaders="1">
      <pane xSplit="4" ySplit="5" topLeftCell="E6" activePane="bottomRight" state="frozen"/>
      <selection pane="topRight"/>
      <selection pane="bottomLeft"/>
      <selection pane="bottomRight" activeCell="E6" sqref="E6"/>
    </sheetView>
  </sheetViews>
  <sheetFormatPr defaultRowHeight="14.4" outlineLevelRow="0" outlineLevelCol="0"/>
  <cols>
    <col min="1" max="1" width="5" customWidth="true" style="0"/>
    <col min="2" max="2" width="9" customWidth="true" style="0"/>
    <col min="4" max="4" width="65" customWidth="true" style="0"/>
    <col min="5" max="5" width="36" customWidth="true" style="0"/>
    <col min="6" max="6" width="9" customWidth="true" style="0"/>
    <col min="9" max="9" width="12" customWidth="true" style="0"/>
    <col min="10" max="10" width="12" customWidth="true" style="0"/>
    <col min="11" max="11" width="12" customWidth="true" style="0"/>
    <col min="12" max="12" width="12" customWidth="true" style="0"/>
    <col min="13" max="13" width="13" customWidth="true" style="0"/>
    <col min="15" max="15" width="13" customWidth="true" style="0"/>
    <col min="18" max="18" width="18" customWidth="true" style="0"/>
    <col min="19" max="19" width="30" customWidth="true" style="0"/>
    <col min="24" max="24" width="16" customWidth="true" style="0"/>
    <col min="25" max="25" width="16" customWidth="true" style="0"/>
    <col min="26" max="26" width="65" customWidth="true" style="0"/>
    <col min="32" max="32" width="50" customWidth="true" style="0"/>
  </cols>
  <sheetData>
    <row r="1" spans="1:34" customHeight="1" ht="30">
      <c r="E1" s="2" t="s">
        <v>0</v>
      </c>
      <c r="F1" s="2"/>
      <c r="G1" s="2"/>
      <c r="H1" s="2"/>
      <c r="I1" s="2"/>
      <c r="J1" s="2"/>
      <c r="K1" s="2"/>
      <c r="L1" s="2"/>
      <c r="M1" s="2"/>
    </row>
    <row r="2" spans="1:34">
      <c r="E2" s="1" t="s">
        <v>1</v>
      </c>
      <c r="F2" s="1"/>
      <c r="G2" s="1"/>
      <c r="H2" s="1"/>
      <c r="I2" s="1"/>
      <c r="J2" s="1"/>
      <c r="K2" s="1"/>
      <c r="L2" s="1"/>
      <c r="M2" s="1"/>
    </row>
    <row r="3" spans="1:34">
      <c r="E3"/>
    </row>
    <row r="4" spans="1:34">
      <c r="A4" s="10" t="s">
        <v>2</v>
      </c>
      <c r="B4" s="11"/>
      <c r="C4" s="11"/>
      <c r="D4" s="11"/>
      <c r="E4" s="11"/>
      <c r="F4" s="11"/>
      <c r="G4" s="12" t="s">
        <v>3</v>
      </c>
      <c r="H4" s="13"/>
      <c r="I4" s="13"/>
      <c r="J4" s="13"/>
      <c r="K4" s="13"/>
      <c r="L4" s="13"/>
      <c r="M4" s="13"/>
      <c r="N4" s="13"/>
      <c r="O4" s="13"/>
      <c r="P4" s="13"/>
      <c r="Q4" s="13"/>
      <c r="R4" s="13"/>
      <c r="S4" s="13"/>
      <c r="T4" s="10" t="s">
        <v>4</v>
      </c>
      <c r="U4" s="11"/>
      <c r="V4" s="11"/>
      <c r="W4" s="11"/>
      <c r="X4" s="14" t="s">
        <v>5</v>
      </c>
      <c r="Y4" s="15"/>
      <c r="Z4" s="16" t="s">
        <v>6</v>
      </c>
      <c r="AA4" s="17"/>
      <c r="AB4" s="17"/>
      <c r="AC4" s="17"/>
      <c r="AD4" s="17"/>
      <c r="AE4" s="17"/>
      <c r="AF4" s="17"/>
      <c r="AG4" s="18"/>
      <c r="AH4" s="18"/>
    </row>
    <row r="5" spans="1:34">
      <c r="A5" s="4" t="s">
        <v>7</v>
      </c>
      <c r="B5" s="4" t="s">
        <v>8</v>
      </c>
      <c r="C5" s="4" t="s">
        <v>9</v>
      </c>
      <c r="D5" s="3" t="s">
        <v>10</v>
      </c>
      <c r="E5" s="3" t="s">
        <v>11</v>
      </c>
      <c r="F5" s="4" t="s">
        <v>12</v>
      </c>
      <c r="G5" s="6" t="s">
        <v>13</v>
      </c>
      <c r="H5" s="6" t="s">
        <v>14</v>
      </c>
      <c r="I5" s="6" t="s">
        <v>15</v>
      </c>
      <c r="J5" s="6" t="s">
        <v>16</v>
      </c>
      <c r="K5" s="6" t="s">
        <v>17</v>
      </c>
      <c r="L5" s="6" t="s">
        <v>18</v>
      </c>
      <c r="M5" s="6" t="s">
        <v>19</v>
      </c>
      <c r="N5" s="6" t="s">
        <v>20</v>
      </c>
      <c r="O5" s="6" t="s">
        <v>21</v>
      </c>
      <c r="P5" s="6" t="s">
        <v>22</v>
      </c>
      <c r="Q5" s="6" t="s">
        <v>23</v>
      </c>
      <c r="R5" s="5" t="s">
        <v>24</v>
      </c>
      <c r="S5" s="5" t="s">
        <v>25</v>
      </c>
      <c r="T5" s="4" t="s">
        <v>26</v>
      </c>
      <c r="U5" s="4" t="s">
        <v>27</v>
      </c>
      <c r="V5" s="4" t="s">
        <v>28</v>
      </c>
      <c r="W5" s="4" t="s">
        <v>29</v>
      </c>
      <c r="X5" s="7" t="s">
        <v>30</v>
      </c>
      <c r="Y5" s="7" t="s">
        <v>31</v>
      </c>
      <c r="Z5" s="8" t="s">
        <v>32</v>
      </c>
      <c r="AA5" s="9" t="s">
        <v>33</v>
      </c>
      <c r="AB5" s="9" t="s">
        <v>34</v>
      </c>
      <c r="AC5" s="9" t="s">
        <v>35</v>
      </c>
      <c r="AD5" s="9" t="s">
        <v>36</v>
      </c>
      <c r="AE5" s="9" t="s">
        <v>37</v>
      </c>
      <c r="AF5" s="8" t="s">
        <v>38</v>
      </c>
    </row>
    <row r="6" spans="1:34">
      <c r="A6" s="19">
        <v>1</v>
      </c>
      <c r="B6" s="19" t="s">
        <v>39</v>
      </c>
      <c r="C6" s="19" t="s">
        <v>40</v>
      </c>
      <c r="D6" s="19" t="str">
        <f>HYPERLINK("http://www.henontech.com/fieldsafety/harzard/harzard_show.php?rid=972&amp;url=harzardrecs.php","3#站厌氧罐防腐保温外层铁皮经年腐蚀老化，操作工在清理其周边卫生时被脱落的铁皮砸伤")</f>
        <v>3#站厌氧罐防腐保温外层铁皮经年腐蚀老化，操作工在清理其周边卫生时被脱落的铁皮砸伤</v>
      </c>
      <c r="E6" s="19" t="s">
        <v>41</v>
      </c>
      <c r="F6" s="20" t="s">
        <v>42</v>
      </c>
      <c r="G6" s="21" t="s">
        <v>43</v>
      </c>
      <c r="H6" s="19" t="s">
        <v>44</v>
      </c>
      <c r="I6" s="19" t="s">
        <v>45</v>
      </c>
      <c r="J6" s="19" t="s">
        <v>46</v>
      </c>
      <c r="K6" s="19" t="s">
        <v>47</v>
      </c>
      <c r="L6" s="19" t="s">
        <v>48</v>
      </c>
      <c r="M6" s="19" t="s">
        <v>49</v>
      </c>
      <c r="N6" s="19" t="s">
        <v>50</v>
      </c>
      <c r="O6" s="19" t="s">
        <v>49</v>
      </c>
      <c r="P6" s="19" t="s">
        <v>51</v>
      </c>
      <c r="Q6" s="19" t="s">
        <v>52</v>
      </c>
      <c r="R6" s="19" t="s">
        <v>53</v>
      </c>
      <c r="S6" s="19"/>
      <c r="T6" s="19" t="s">
        <v>54</v>
      </c>
      <c r="U6" s="19" t="s">
        <v>55</v>
      </c>
      <c r="V6" s="19" t="s">
        <v>56</v>
      </c>
      <c r="W6" s="19" t="s">
        <v>57</v>
      </c>
      <c r="X6" s="19" t="s">
        <v>58</v>
      </c>
      <c r="Y6" s="19" t="s">
        <v>58</v>
      </c>
      <c r="Z6" s="19" t="s">
        <v>59</v>
      </c>
      <c r="AA6" s="19">
        <v>1</v>
      </c>
      <c r="AB6" s="19">
        <v>1</v>
      </c>
      <c r="AC6" s="19" t="s">
        <v>60</v>
      </c>
      <c r="AD6" s="19" t="s">
        <v>51</v>
      </c>
      <c r="AE6" s="19" t="s">
        <v>61</v>
      </c>
      <c r="AF6" s="19" t="s">
        <v>62</v>
      </c>
    </row>
    <row r="7" spans="1:34">
      <c r="A7" s="19">
        <v>2</v>
      </c>
      <c r="B7" s="19" t="s">
        <v>63</v>
      </c>
      <c r="C7" s="19" t="s">
        <v>64</v>
      </c>
      <c r="D7" s="19" t="str">
        <f>HYPERLINK("http://www.henontech.com/fieldsafety/harzard/harzard_show.php?rid=1002&amp;url=harzardrecs.php","切割机电缆未防护，长时间进行切割作业飞溅火星可能会造成电缆烧伤破损，假如维修人员移动时可能会造成电缆短路")</f>
        <v>切割机电缆未防护，长时间进行切割作业飞溅火星可能会造成电缆烧伤破损，假如维修人员移动时可能会造成电缆短路</v>
      </c>
      <c r="E7" s="19" t="s">
        <v>65</v>
      </c>
      <c r="F7" s="20" t="s">
        <v>42</v>
      </c>
      <c r="G7" s="22" t="s">
        <v>66</v>
      </c>
      <c r="H7" s="19" t="s">
        <v>44</v>
      </c>
      <c r="I7" s="19" t="s">
        <v>67</v>
      </c>
      <c r="J7" s="19" t="s">
        <v>68</v>
      </c>
      <c r="K7" s="19" t="s">
        <v>69</v>
      </c>
      <c r="L7" s="19"/>
      <c r="M7" s="19" t="s">
        <v>70</v>
      </c>
      <c r="N7" s="19" t="s">
        <v>71</v>
      </c>
      <c r="O7" s="19" t="s">
        <v>70</v>
      </c>
      <c r="P7" s="19" t="s">
        <v>72</v>
      </c>
      <c r="Q7" s="19" t="s">
        <v>73</v>
      </c>
      <c r="R7" s="19" t="s">
        <v>74</v>
      </c>
      <c r="S7" s="19"/>
      <c r="T7" s="19" t="s">
        <v>54</v>
      </c>
      <c r="U7" s="19" t="s">
        <v>75</v>
      </c>
      <c r="V7" s="19" t="s">
        <v>76</v>
      </c>
      <c r="W7" s="19" t="s">
        <v>77</v>
      </c>
      <c r="X7" s="19"/>
      <c r="Y7" s="19"/>
      <c r="Z7" s="19" t="s">
        <v>78</v>
      </c>
      <c r="AA7" s="19">
        <v>1</v>
      </c>
      <c r="AB7" s="19">
        <v>1</v>
      </c>
      <c r="AC7" s="19" t="s">
        <v>60</v>
      </c>
      <c r="AD7" s="19" t="s">
        <v>72</v>
      </c>
      <c r="AE7" s="19" t="s">
        <v>79</v>
      </c>
      <c r="AF7" s="19"/>
    </row>
    <row r="8" spans="1:34" customHeight="1" ht="42">
      <c r="A8" s="19">
        <v>3</v>
      </c>
      <c r="B8" s="19" t="s">
        <v>80</v>
      </c>
      <c r="C8" s="19" t="s">
        <v>81</v>
      </c>
      <c r="D8" s="19" t="str">
        <f>HYPERLINK("http://www.henontech.com/fieldsafety/harzard/harzard_show.php?rid=1050&amp;url=harzardrecs.php","锅炉零米爬梯处地沟盖板缺失，巡检人员如果注意力不集中迈入地沟中造成左小腿扭伤骨折。")</f>
        <v>锅炉零米爬梯处地沟盖板缺失，巡检人员如果注意力不集中迈入地沟中造成左小腿扭伤骨折。</v>
      </c>
      <c r="E8" s="19" t="s">
        <v>82</v>
      </c>
      <c r="F8" s="20" t="s">
        <v>42</v>
      </c>
      <c r="G8" s="21" t="s">
        <v>43</v>
      </c>
      <c r="H8" s="19" t="s">
        <v>44</v>
      </c>
      <c r="I8" s="19" t="s">
        <v>83</v>
      </c>
      <c r="J8" s="19" t="s">
        <v>68</v>
      </c>
      <c r="K8" s="19"/>
      <c r="L8" s="19"/>
      <c r="M8" s="19" t="s">
        <v>84</v>
      </c>
      <c r="N8" s="19" t="s">
        <v>85</v>
      </c>
      <c r="O8" s="19" t="s">
        <v>84</v>
      </c>
      <c r="P8" s="19" t="s">
        <v>85</v>
      </c>
      <c r="Q8" s="19" t="s">
        <v>61</v>
      </c>
      <c r="R8" s="19" t="s">
        <v>86</v>
      </c>
      <c r="S8" s="19"/>
      <c r="T8" s="19" t="s">
        <v>54</v>
      </c>
      <c r="U8" s="19" t="s">
        <v>55</v>
      </c>
      <c r="V8" s="19" t="s">
        <v>56</v>
      </c>
      <c r="W8" s="19" t="s">
        <v>57</v>
      </c>
      <c r="X8" s="19" t="s">
        <v>58</v>
      </c>
      <c r="Y8" s="19"/>
      <c r="Z8" s="19" t="s">
        <v>87</v>
      </c>
      <c r="AA8" s="19">
        <v>2</v>
      </c>
      <c r="AB8" s="19">
        <v>2</v>
      </c>
      <c r="AC8" s="19" t="s">
        <v>60</v>
      </c>
      <c r="AD8" s="19" t="s">
        <v>85</v>
      </c>
      <c r="AE8" s="19" t="s">
        <v>88</v>
      </c>
      <c r="AF8" s="19" t="s">
        <v>89</v>
      </c>
    </row>
    <row r="9" spans="1:34">
      <c r="A9" s="19">
        <v>4</v>
      </c>
      <c r="B9" s="19" t="s">
        <v>90</v>
      </c>
      <c r="C9" s="19" t="s">
        <v>91</v>
      </c>
      <c r="D9" s="19" t="str">
        <f>HYPERLINK("http://www.henontech.com/fieldsafety/harzard/harzard_show.php?rid=1086&amp;url=harzardrecs.php","余热回收器导淋部分阀门及管道未及时保温，导淋部件温度较高，若雨天导淋阀门及管件遇大量低温雨水易开裂、泄漏，导致合成系统停车")</f>
        <v>余热回收器导淋部分阀门及管道未及时保温，导淋部件温度较高，若雨天导淋阀门及管件遇大量低温雨水易开裂、泄漏，导致合成系统停车</v>
      </c>
      <c r="E9" s="19" t="s">
        <v>92</v>
      </c>
      <c r="F9" s="20" t="s">
        <v>42</v>
      </c>
      <c r="G9" s="21" t="s">
        <v>43</v>
      </c>
      <c r="H9" s="19" t="s">
        <v>44</v>
      </c>
      <c r="I9" s="19" t="s">
        <v>67</v>
      </c>
      <c r="J9" s="19" t="s">
        <v>93</v>
      </c>
      <c r="K9" s="19" t="s">
        <v>47</v>
      </c>
      <c r="L9" s="19" t="s">
        <v>48</v>
      </c>
      <c r="M9" s="19" t="s">
        <v>94</v>
      </c>
      <c r="N9" s="19" t="s">
        <v>95</v>
      </c>
      <c r="O9" s="19" t="s">
        <v>96</v>
      </c>
      <c r="P9" s="19" t="s">
        <v>97</v>
      </c>
      <c r="Q9" s="19" t="s">
        <v>98</v>
      </c>
      <c r="R9" s="19" t="s">
        <v>99</v>
      </c>
      <c r="S9" s="19"/>
      <c r="T9" s="19" t="s">
        <v>100</v>
      </c>
      <c r="U9" s="19" t="s">
        <v>75</v>
      </c>
      <c r="V9" s="19" t="s">
        <v>101</v>
      </c>
      <c r="W9" s="19" t="s">
        <v>77</v>
      </c>
      <c r="X9" s="19"/>
      <c r="Y9" s="19"/>
      <c r="Z9" s="19" t="s">
        <v>102</v>
      </c>
      <c r="AA9" s="19">
        <v>1</v>
      </c>
      <c r="AB9" s="19">
        <v>1</v>
      </c>
      <c r="AC9" s="19" t="s">
        <v>60</v>
      </c>
      <c r="AD9" s="19" t="s">
        <v>97</v>
      </c>
      <c r="AE9" s="19" t="s">
        <v>103</v>
      </c>
      <c r="AF9" s="19" t="s">
        <v>104</v>
      </c>
    </row>
    <row r="10" spans="1:34">
      <c r="A10" s="19">
        <v>5</v>
      </c>
      <c r="B10" s="19" t="s">
        <v>105</v>
      </c>
      <c r="C10" s="19" t="s">
        <v>106</v>
      </c>
      <c r="D10" s="19" t="str">
        <f>HYPERLINK("http://www.henontech.com/fieldsafety/harzard/harzard_show.php?rid=1144&amp;url=harzardrecs.php","因生活给水管道破损，大母液泵附近洗眼器长期无水，假如操作人员母液溅入眼内未及时清洗，可能造成眼部灼伤。")</f>
        <v>因生活给水管道破损，大母液泵附近洗眼器长期无水，假如操作人员母液溅入眼内未及时清洗，可能造成眼部灼伤。</v>
      </c>
      <c r="E10" s="19" t="s">
        <v>107</v>
      </c>
      <c r="F10" s="20" t="s">
        <v>42</v>
      </c>
      <c r="G10" s="22" t="s">
        <v>66</v>
      </c>
      <c r="H10" s="19" t="s">
        <v>44</v>
      </c>
      <c r="I10" s="19"/>
      <c r="J10" s="19" t="s">
        <v>46</v>
      </c>
      <c r="K10" s="19" t="s">
        <v>69</v>
      </c>
      <c r="L10" s="19" t="s">
        <v>48</v>
      </c>
      <c r="M10" s="19" t="s">
        <v>70</v>
      </c>
      <c r="N10" s="19" t="s">
        <v>108</v>
      </c>
      <c r="O10" s="19" t="s">
        <v>70</v>
      </c>
      <c r="P10" s="19" t="s">
        <v>72</v>
      </c>
      <c r="Q10" s="19" t="s">
        <v>109</v>
      </c>
      <c r="R10" s="19" t="s">
        <v>110</v>
      </c>
      <c r="S10" s="19" t="s">
        <v>111</v>
      </c>
      <c r="T10" s="19" t="s">
        <v>54</v>
      </c>
      <c r="U10" s="19" t="s">
        <v>75</v>
      </c>
      <c r="V10" s="19" t="s">
        <v>101</v>
      </c>
      <c r="W10" s="19" t="s">
        <v>77</v>
      </c>
      <c r="X10" s="19"/>
      <c r="Y10" s="19"/>
      <c r="Z10" s="19" t="s">
        <v>112</v>
      </c>
      <c r="AA10" s="19">
        <v>1</v>
      </c>
      <c r="AB10" s="19">
        <v>1</v>
      </c>
      <c r="AC10" s="19" t="s">
        <v>60</v>
      </c>
      <c r="AD10" s="19" t="s">
        <v>72</v>
      </c>
      <c r="AE10" s="19" t="s">
        <v>113</v>
      </c>
      <c r="AF10" s="19"/>
    </row>
    <row r="11" spans="1:34" customHeight="1" ht="42">
      <c r="A11" s="19">
        <v>6</v>
      </c>
      <c r="B11" s="19" t="s">
        <v>114</v>
      </c>
      <c r="C11" s="19" t="s">
        <v>115</v>
      </c>
      <c r="D11" s="19" t="str">
        <f>HYPERLINK("http://www.henontech.com/fieldsafety/harzard/harzard_show.php?rid=1165&amp;url=harzardrecs.php","一名操作工从4.3米焦炉烟道闸板配重铁底部经过，因抱闸突然失灵配重铁下落，砸到人员头部，当场昏迷，经医院抢救无效死亡")</f>
        <v>一名操作工从4.3米焦炉烟道闸板配重铁底部经过，因抱闸突然失灵配重铁下落，砸到人员头部，当场昏迷，经医院抢救无效死亡</v>
      </c>
      <c r="E11" s="19" t="s">
        <v>116</v>
      </c>
      <c r="F11" s="20" t="s">
        <v>42</v>
      </c>
      <c r="G11" s="22" t="s">
        <v>66</v>
      </c>
      <c r="H11" s="19" t="s">
        <v>44</v>
      </c>
      <c r="I11" s="19" t="s">
        <v>67</v>
      </c>
      <c r="J11" s="19" t="s">
        <v>46</v>
      </c>
      <c r="K11" s="19" t="s">
        <v>69</v>
      </c>
      <c r="L11" s="19"/>
      <c r="M11" s="19" t="s">
        <v>117</v>
      </c>
      <c r="N11" s="19" t="s">
        <v>118</v>
      </c>
      <c r="O11" s="19" t="s">
        <v>117</v>
      </c>
      <c r="P11" s="19" t="s">
        <v>119</v>
      </c>
      <c r="Q11" s="19" t="s">
        <v>61</v>
      </c>
      <c r="R11" s="19" t="s">
        <v>120</v>
      </c>
      <c r="S11" s="19"/>
      <c r="T11" s="19" t="s">
        <v>54</v>
      </c>
      <c r="U11" s="19" t="s">
        <v>121</v>
      </c>
      <c r="V11" s="19" t="s">
        <v>56</v>
      </c>
      <c r="W11" s="19" t="s">
        <v>122</v>
      </c>
      <c r="X11" s="19" t="s">
        <v>123</v>
      </c>
      <c r="Y11" s="19" t="s">
        <v>123</v>
      </c>
      <c r="Z11" s="19" t="s">
        <v>124</v>
      </c>
      <c r="AA11" s="19">
        <v>2</v>
      </c>
      <c r="AB11" s="19">
        <v>2</v>
      </c>
      <c r="AC11" s="19" t="s">
        <v>60</v>
      </c>
      <c r="AD11" s="19" t="s">
        <v>119</v>
      </c>
      <c r="AE11" s="19" t="s">
        <v>125</v>
      </c>
      <c r="AF11" s="19" t="s">
        <v>126</v>
      </c>
    </row>
    <row r="12" spans="1:34">
      <c r="A12" s="19">
        <v>7</v>
      </c>
      <c r="B12" s="19" t="s">
        <v>127</v>
      </c>
      <c r="C12" s="19" t="s">
        <v>128</v>
      </c>
      <c r="D12" s="19" t="str">
        <f>HYPERLINK("http://www.henontech.com/fieldsafety/harzard/harzard_show.php?rid=1236&amp;url=harzardrecs.php","好氧池护栏开焊倾斜，操作工在来回巡检时，由于过道太窄人员必须身子倾斜扶着护栏过，有可能护栏倾斜角度过大，操作工从池子上掉下来，造成该人员身上多处骨折。")</f>
        <v>好氧池护栏开焊倾斜，操作工在来回巡检时，由于过道太窄人员必须身子倾斜扶着护栏过，有可能护栏倾斜角度过大，操作工从池子上掉下来，造成该人员身上多处骨折。</v>
      </c>
      <c r="E12" s="19" t="s">
        <v>129</v>
      </c>
      <c r="F12" s="20" t="s">
        <v>42</v>
      </c>
      <c r="G12" s="21" t="s">
        <v>43</v>
      </c>
      <c r="H12" s="19" t="s">
        <v>44</v>
      </c>
      <c r="I12" s="19" t="s">
        <v>67</v>
      </c>
      <c r="J12" s="19" t="s">
        <v>68</v>
      </c>
      <c r="K12" s="19" t="s">
        <v>69</v>
      </c>
      <c r="L12" s="19" t="s">
        <v>48</v>
      </c>
      <c r="M12" s="19" t="s">
        <v>49</v>
      </c>
      <c r="N12" s="19" t="s">
        <v>130</v>
      </c>
      <c r="O12" s="19" t="s">
        <v>49</v>
      </c>
      <c r="P12" s="19" t="s">
        <v>51</v>
      </c>
      <c r="Q12" s="19" t="s">
        <v>98</v>
      </c>
      <c r="R12" s="19" t="s">
        <v>131</v>
      </c>
      <c r="S12" s="19"/>
      <c r="T12" s="19" t="s">
        <v>54</v>
      </c>
      <c r="U12" s="19" t="s">
        <v>55</v>
      </c>
      <c r="V12" s="19" t="s">
        <v>56</v>
      </c>
      <c r="W12" s="19" t="s">
        <v>57</v>
      </c>
      <c r="X12" s="19" t="s">
        <v>58</v>
      </c>
      <c r="Y12" s="19" t="s">
        <v>58</v>
      </c>
      <c r="Z12" s="19" t="s">
        <v>132</v>
      </c>
      <c r="AA12" s="19">
        <v>1</v>
      </c>
      <c r="AB12" s="19">
        <v>1</v>
      </c>
      <c r="AC12" s="19" t="s">
        <v>60</v>
      </c>
      <c r="AD12" s="19" t="s">
        <v>51</v>
      </c>
      <c r="AE12" s="19" t="s">
        <v>61</v>
      </c>
      <c r="AF12" s="19"/>
    </row>
    <row r="13" spans="1:34" customHeight="1" ht="42">
      <c r="A13" s="19">
        <v>8</v>
      </c>
      <c r="B13" s="19" t="s">
        <v>133</v>
      </c>
      <c r="C13" s="19" t="s">
        <v>81</v>
      </c>
      <c r="D13" s="19" t="str">
        <f>HYPERLINK("http://www.henontech.com/fieldsafety/harzard/harzard_show.php?rid=1267&amp;url=harzardrecs.php","35T锅炉二层平台一灭火器未采取防倾倒措施，巡检人员从旁边经过时容易被倾倒的灭火器砸伤脚面,造成在家休息七天的损工事故")</f>
        <v>35T锅炉二层平台一灭火器未采取防倾倒措施，巡检人员从旁边经过时容易被倾倒的灭火器砸伤脚面,造成在家休息七天的损工事故</v>
      </c>
      <c r="E13" s="19" t="s">
        <v>134</v>
      </c>
      <c r="F13" s="20" t="s">
        <v>42</v>
      </c>
      <c r="G13" s="21" t="s">
        <v>43</v>
      </c>
      <c r="H13" s="19" t="s">
        <v>44</v>
      </c>
      <c r="I13" s="19" t="s">
        <v>45</v>
      </c>
      <c r="J13" s="19" t="s">
        <v>68</v>
      </c>
      <c r="K13" s="19" t="s">
        <v>69</v>
      </c>
      <c r="L13" s="19" t="s">
        <v>48</v>
      </c>
      <c r="M13" s="19" t="s">
        <v>84</v>
      </c>
      <c r="N13" s="19" t="s">
        <v>135</v>
      </c>
      <c r="O13" s="19" t="s">
        <v>84</v>
      </c>
      <c r="P13" s="19" t="s">
        <v>136</v>
      </c>
      <c r="Q13" s="19" t="s">
        <v>61</v>
      </c>
      <c r="R13" s="19" t="s">
        <v>137</v>
      </c>
      <c r="S13" s="19"/>
      <c r="T13" s="19" t="s">
        <v>54</v>
      </c>
      <c r="U13" s="19" t="s">
        <v>75</v>
      </c>
      <c r="V13" s="19" t="s">
        <v>56</v>
      </c>
      <c r="W13" s="19" t="s">
        <v>138</v>
      </c>
      <c r="X13" s="19" t="s">
        <v>58</v>
      </c>
      <c r="Y13" s="19"/>
      <c r="Z13" s="19" t="s">
        <v>139</v>
      </c>
      <c r="AA13" s="19">
        <v>2</v>
      </c>
      <c r="AB13" s="19">
        <v>2</v>
      </c>
      <c r="AC13" s="19" t="s">
        <v>60</v>
      </c>
      <c r="AD13" s="19" t="s">
        <v>136</v>
      </c>
      <c r="AE13" s="19" t="s">
        <v>140</v>
      </c>
      <c r="AF13" s="19" t="s">
        <v>141</v>
      </c>
    </row>
    <row r="14" spans="1:34">
      <c r="A14" s="19">
        <v>9</v>
      </c>
      <c r="B14" s="19" t="s">
        <v>142</v>
      </c>
      <c r="C14" s="19" t="s">
        <v>143</v>
      </c>
      <c r="D14" s="19" t="str">
        <f>HYPERLINK("http://www.henontech.com/fieldsafety/harzard/harzard_show.php?rid=1315&amp;url=harzardrecs.php","1号溶液循环泵出口阀门处操作平台底部支撑腐蚀严重，如果有操作人员在开关阀门调节流量易造成人员坠落伤害事故。")</f>
        <v>1号溶液循环泵出口阀门处操作平台底部支撑腐蚀严重，如果有操作人员在开关阀门调节流量易造成人员坠落伤害事故。</v>
      </c>
      <c r="E14" s="19" t="s">
        <v>144</v>
      </c>
      <c r="F14" s="20" t="s">
        <v>42</v>
      </c>
      <c r="G14" s="21" t="s">
        <v>43</v>
      </c>
      <c r="H14" s="19" t="s">
        <v>44</v>
      </c>
      <c r="I14" s="19" t="s">
        <v>67</v>
      </c>
      <c r="J14" s="19" t="s">
        <v>46</v>
      </c>
      <c r="K14" s="19" t="s">
        <v>145</v>
      </c>
      <c r="L14" s="19" t="s">
        <v>48</v>
      </c>
      <c r="M14" s="19" t="s">
        <v>70</v>
      </c>
      <c r="N14" s="19" t="s">
        <v>146</v>
      </c>
      <c r="O14" s="19" t="s">
        <v>70</v>
      </c>
      <c r="P14" s="19" t="s">
        <v>72</v>
      </c>
      <c r="Q14" s="19" t="s">
        <v>147</v>
      </c>
      <c r="R14" s="19" t="s">
        <v>148</v>
      </c>
      <c r="S14" s="19"/>
      <c r="T14" s="19" t="s">
        <v>54</v>
      </c>
      <c r="U14" s="19" t="s">
        <v>55</v>
      </c>
      <c r="V14" s="19" t="s">
        <v>56</v>
      </c>
      <c r="W14" s="19" t="s">
        <v>57</v>
      </c>
      <c r="X14" s="19"/>
      <c r="Y14" s="19"/>
      <c r="Z14" s="19" t="s">
        <v>149</v>
      </c>
      <c r="AA14" s="19">
        <v>1</v>
      </c>
      <c r="AB14" s="19">
        <v>1</v>
      </c>
      <c r="AC14" s="19" t="s">
        <v>60</v>
      </c>
      <c r="AD14" s="19" t="s">
        <v>72</v>
      </c>
      <c r="AE14" s="19" t="s">
        <v>61</v>
      </c>
      <c r="AF14" s="19"/>
    </row>
    <row r="15" spans="1:34">
      <c r="A15" s="19">
        <v>10</v>
      </c>
      <c r="B15" s="19" t="s">
        <v>150</v>
      </c>
      <c r="C15" s="19" t="s">
        <v>151</v>
      </c>
      <c r="D15" s="19" t="str">
        <f>HYPERLINK("http://www.henontech.com/fieldsafety/harzard/harzard_show.php?rid=1323&amp;url=harzardrecs.php","母液贮槽顶部一段护栏缺失，一名操作人员在顶部巡检捞焦油过程中，如果未系安全带，可能造成3米高处坠落。")</f>
        <v>母液贮槽顶部一段护栏缺失，一名操作人员在顶部巡检捞焦油过程中，如果未系安全带，可能造成3米高处坠落。</v>
      </c>
      <c r="E15" s="19" t="s">
        <v>152</v>
      </c>
      <c r="F15" s="20" t="s">
        <v>42</v>
      </c>
      <c r="G15" s="22" t="s">
        <v>66</v>
      </c>
      <c r="H15" s="19" t="s">
        <v>44</v>
      </c>
      <c r="I15" s="19" t="s">
        <v>45</v>
      </c>
      <c r="J15" s="19" t="s">
        <v>46</v>
      </c>
      <c r="K15" s="19" t="s">
        <v>69</v>
      </c>
      <c r="L15" s="19" t="s">
        <v>48</v>
      </c>
      <c r="M15" s="19" t="s">
        <v>70</v>
      </c>
      <c r="N15" s="19" t="s">
        <v>153</v>
      </c>
      <c r="O15" s="19" t="s">
        <v>70</v>
      </c>
      <c r="P15" s="19" t="s">
        <v>72</v>
      </c>
      <c r="Q15" s="19" t="s">
        <v>113</v>
      </c>
      <c r="R15" s="19" t="s">
        <v>154</v>
      </c>
      <c r="S15" s="19" t="s">
        <v>155</v>
      </c>
      <c r="T15" s="19" t="s">
        <v>54</v>
      </c>
      <c r="U15" s="19" t="s">
        <v>55</v>
      </c>
      <c r="V15" s="19" t="s">
        <v>101</v>
      </c>
      <c r="W15" s="19" t="s">
        <v>138</v>
      </c>
      <c r="X15" s="19"/>
      <c r="Y15" s="19"/>
      <c r="Z15" s="19" t="s">
        <v>156</v>
      </c>
      <c r="AA15" s="19">
        <v>1</v>
      </c>
      <c r="AB15" s="19">
        <v>1</v>
      </c>
      <c r="AC15" s="19" t="s">
        <v>60</v>
      </c>
      <c r="AD15" s="19" t="s">
        <v>72</v>
      </c>
      <c r="AE15" s="19" t="s">
        <v>113</v>
      </c>
      <c r="AF15" s="19"/>
    </row>
    <row r="16" spans="1:34" customHeight="1" ht="42">
      <c r="A16" s="19">
        <v>11</v>
      </c>
      <c r="B16" s="19" t="s">
        <v>157</v>
      </c>
      <c r="C16" s="19" t="s">
        <v>158</v>
      </c>
      <c r="D16" s="19" t="str">
        <f>HYPERLINK("http://www.henontech.com/fieldsafety/harzard/harzard_show.php?rid=1338&amp;url=harzardrecs.php","粗苯终冷塔顶部放散电动阀门穿线管与终冷塔下部脱离，如果操作工巡检经过时穿线管坠落会造成操作工肩部砸伤，误工一个月，住院治疗15天。")</f>
        <v>粗苯终冷塔顶部放散电动阀门穿线管与终冷塔下部脱离，如果操作工巡检经过时穿线管坠落会造成操作工肩部砸伤，误工一个月，住院治疗15天。</v>
      </c>
      <c r="E16" s="19" t="s">
        <v>159</v>
      </c>
      <c r="F16" s="20" t="s">
        <v>42</v>
      </c>
      <c r="G16" s="21" t="s">
        <v>43</v>
      </c>
      <c r="H16" s="19" t="s">
        <v>44</v>
      </c>
      <c r="I16" s="19" t="s">
        <v>45</v>
      </c>
      <c r="J16" s="19" t="s">
        <v>46</v>
      </c>
      <c r="K16" s="19" t="s">
        <v>69</v>
      </c>
      <c r="L16" s="19" t="s">
        <v>48</v>
      </c>
      <c r="M16" s="19" t="s">
        <v>70</v>
      </c>
      <c r="N16" s="19" t="s">
        <v>160</v>
      </c>
      <c r="O16" s="19" t="s">
        <v>70</v>
      </c>
      <c r="P16" s="19" t="s">
        <v>72</v>
      </c>
      <c r="Q16" s="19" t="s">
        <v>79</v>
      </c>
      <c r="R16" s="19" t="s">
        <v>161</v>
      </c>
      <c r="S16" s="19"/>
      <c r="T16" s="19" t="s">
        <v>54</v>
      </c>
      <c r="U16" s="19" t="s">
        <v>55</v>
      </c>
      <c r="V16" s="19" t="s">
        <v>101</v>
      </c>
      <c r="W16" s="19" t="s">
        <v>138</v>
      </c>
      <c r="X16" s="19"/>
      <c r="Y16" s="19"/>
      <c r="Z16" s="19" t="s">
        <v>162</v>
      </c>
      <c r="AA16" s="19">
        <v>2</v>
      </c>
      <c r="AB16" s="19">
        <v>2</v>
      </c>
      <c r="AC16" s="19" t="s">
        <v>60</v>
      </c>
      <c r="AD16" s="19" t="s">
        <v>72</v>
      </c>
      <c r="AE16" s="19" t="s">
        <v>113</v>
      </c>
      <c r="AF16" s="19"/>
    </row>
    <row r="17" spans="1:34" customHeight="1" ht="42">
      <c r="A17" s="19">
        <v>12</v>
      </c>
      <c r="B17" s="19" t="s">
        <v>163</v>
      </c>
      <c r="C17" s="19" t="s">
        <v>164</v>
      </c>
      <c r="D17" s="19" t="str">
        <f>HYPERLINK("http://www.henontech.com/fieldsafety/harzard/harzard_show.php?rid=1347&amp;url=harzardrecs.php","筛焦楼复频筛，因无操作平台，一名维修工在检修电机时，不慎跌落造成多根肋骨骨折，就医修养十二个月。")</f>
        <v>筛焦楼复频筛，因无操作平台，一名维修工在检修电机时，不慎跌落造成多根肋骨骨折，就医修养十二个月。</v>
      </c>
      <c r="E17" s="19" t="s">
        <v>165</v>
      </c>
      <c r="F17" s="20" t="s">
        <v>42</v>
      </c>
      <c r="G17" s="22" t="s">
        <v>66</v>
      </c>
      <c r="H17" s="19" t="s">
        <v>44</v>
      </c>
      <c r="I17" s="19" t="s">
        <v>83</v>
      </c>
      <c r="J17" s="19" t="s">
        <v>46</v>
      </c>
      <c r="K17" s="19" t="s">
        <v>166</v>
      </c>
      <c r="L17" s="19" t="s">
        <v>167</v>
      </c>
      <c r="M17" s="19" t="s">
        <v>117</v>
      </c>
      <c r="N17" s="19" t="s">
        <v>168</v>
      </c>
      <c r="O17" s="19" t="s">
        <v>117</v>
      </c>
      <c r="P17" s="19" t="s">
        <v>169</v>
      </c>
      <c r="Q17" s="19" t="s">
        <v>170</v>
      </c>
      <c r="R17" s="19" t="s">
        <v>171</v>
      </c>
      <c r="S17" s="19"/>
      <c r="T17" s="19" t="s">
        <v>54</v>
      </c>
      <c r="U17" s="19" t="s">
        <v>55</v>
      </c>
      <c r="V17" s="19" t="s">
        <v>56</v>
      </c>
      <c r="W17" s="19" t="s">
        <v>57</v>
      </c>
      <c r="X17" s="19" t="s">
        <v>172</v>
      </c>
      <c r="Y17" s="19"/>
      <c r="Z17" s="19" t="s">
        <v>173</v>
      </c>
      <c r="AA17" s="19">
        <v>2</v>
      </c>
      <c r="AB17" s="19">
        <v>2</v>
      </c>
      <c r="AC17" s="19" t="s">
        <v>60</v>
      </c>
      <c r="AD17" s="19" t="s">
        <v>169</v>
      </c>
      <c r="AE17" s="19" t="s">
        <v>174</v>
      </c>
      <c r="AF17" s="19"/>
    </row>
    <row r="18" spans="1:34">
      <c r="A18" s="19">
        <v>13</v>
      </c>
      <c r="B18" s="19" t="s">
        <v>175</v>
      </c>
      <c r="C18" s="19" t="s">
        <v>176</v>
      </c>
      <c r="D18" s="19" t="str">
        <f>HYPERLINK("http://www.henontech.com/fieldsafety/harzard/harzard_show.php?rid=1356&amp;url=harzardrecs.php","一名转化操作工在巡检过程中，因无提示标志在事故水边池坠入池中，造成一人溺水，送医治疗")</f>
        <v>一名转化操作工在巡检过程中，因无提示标志在事故水边池坠入池中，造成一人溺水，送医治疗</v>
      </c>
      <c r="E18" s="19" t="s">
        <v>177</v>
      </c>
      <c r="F18" s="20" t="s">
        <v>42</v>
      </c>
      <c r="G18" s="21" t="s">
        <v>43</v>
      </c>
      <c r="H18" s="19" t="s">
        <v>44</v>
      </c>
      <c r="I18" s="19" t="s">
        <v>83</v>
      </c>
      <c r="J18" s="19" t="s">
        <v>178</v>
      </c>
      <c r="K18" s="19" t="s">
        <v>69</v>
      </c>
      <c r="L18" s="19"/>
      <c r="M18" s="19" t="s">
        <v>96</v>
      </c>
      <c r="N18" s="19" t="s">
        <v>179</v>
      </c>
      <c r="O18" s="19" t="s">
        <v>96</v>
      </c>
      <c r="P18" s="19" t="s">
        <v>180</v>
      </c>
      <c r="Q18" s="19" t="s">
        <v>170</v>
      </c>
      <c r="R18" s="19" t="s">
        <v>181</v>
      </c>
      <c r="S18" s="19"/>
      <c r="T18" s="19" t="s">
        <v>54</v>
      </c>
      <c r="U18" s="19" t="s">
        <v>75</v>
      </c>
      <c r="V18" s="19" t="s">
        <v>101</v>
      </c>
      <c r="W18" s="19" t="s">
        <v>77</v>
      </c>
      <c r="X18" s="19" t="s">
        <v>182</v>
      </c>
      <c r="Y18" s="19"/>
      <c r="Z18" s="19" t="s">
        <v>183</v>
      </c>
      <c r="AA18" s="19">
        <v>1</v>
      </c>
      <c r="AB18" s="19">
        <v>1</v>
      </c>
      <c r="AC18" s="19" t="s">
        <v>60</v>
      </c>
      <c r="AD18" s="19" t="s">
        <v>180</v>
      </c>
      <c r="AE18" s="19" t="s">
        <v>184</v>
      </c>
      <c r="AF18" s="19"/>
    </row>
    <row r="19" spans="1:34">
      <c r="A19" s="19">
        <v>14</v>
      </c>
      <c r="B19" s="19" t="s">
        <v>185</v>
      </c>
      <c r="C19" s="19" t="s">
        <v>186</v>
      </c>
      <c r="D19" s="19" t="str">
        <f>HYPERLINK("http://www.henontech.com/fieldsafety/harzard/harzard_show.php?rid=1362&amp;url=harzardrecs.php","碳化塔尾气管压力变送器信号输出线包扎不严，导致雨水灌入。")</f>
        <v>碳化塔尾气管压力变送器信号输出线包扎不严，导致雨水灌入。</v>
      </c>
      <c r="E19" s="19" t="s">
        <v>187</v>
      </c>
      <c r="F19" s="20" t="s">
        <v>42</v>
      </c>
      <c r="G19" s="21" t="s">
        <v>43</v>
      </c>
      <c r="H19" s="19" t="s">
        <v>44</v>
      </c>
      <c r="I19" s="19" t="s">
        <v>67</v>
      </c>
      <c r="J19" s="19" t="s">
        <v>68</v>
      </c>
      <c r="K19" s="19"/>
      <c r="L19" s="19" t="s">
        <v>48</v>
      </c>
      <c r="M19" s="19" t="s">
        <v>96</v>
      </c>
      <c r="N19" s="19" t="s">
        <v>188</v>
      </c>
      <c r="O19" s="19" t="s">
        <v>96</v>
      </c>
      <c r="P19" s="19" t="s">
        <v>189</v>
      </c>
      <c r="Q19" s="19" t="s">
        <v>190</v>
      </c>
      <c r="R19" s="19" t="s">
        <v>191</v>
      </c>
      <c r="S19" s="19"/>
      <c r="T19" s="19" t="s">
        <v>100</v>
      </c>
      <c r="U19" s="19" t="s">
        <v>192</v>
      </c>
      <c r="V19" s="19" t="s">
        <v>101</v>
      </c>
      <c r="W19" s="19" t="s">
        <v>77</v>
      </c>
      <c r="X19" s="19" t="s">
        <v>182</v>
      </c>
      <c r="Y19" s="19" t="s">
        <v>193</v>
      </c>
      <c r="Z19" s="19" t="s">
        <v>194</v>
      </c>
      <c r="AA19" s="19">
        <v>1</v>
      </c>
      <c r="AB19" s="19">
        <v>1</v>
      </c>
      <c r="AC19" s="19" t="s">
        <v>60</v>
      </c>
      <c r="AD19" s="19" t="s">
        <v>189</v>
      </c>
      <c r="AE19" s="19" t="s">
        <v>170</v>
      </c>
      <c r="AF19" s="19"/>
    </row>
    <row r="20" spans="1:34" customHeight="1" ht="42">
      <c r="A20" s="19">
        <v>15</v>
      </c>
      <c r="B20" s="19" t="s">
        <v>185</v>
      </c>
      <c r="C20" s="19" t="s">
        <v>195</v>
      </c>
      <c r="D20" s="19" t="str">
        <f>HYPERLINK("http://www.henontech.com/fieldsafety/harzard/harzard_show.php?rid=1368&amp;url=harzardrecs.php","一操作工在配重下部清理卫生时，卷扬机抱闸失灵配重下落，将操作工砸伤。")</f>
        <v>一操作工在配重下部清理卫生时，卷扬机抱闸失灵配重下落，将操作工砸伤。</v>
      </c>
      <c r="E20" s="19" t="s">
        <v>196</v>
      </c>
      <c r="F20" s="20" t="s">
        <v>42</v>
      </c>
      <c r="G20" s="22" t="s">
        <v>66</v>
      </c>
      <c r="H20" s="19" t="s">
        <v>44</v>
      </c>
      <c r="I20" s="19" t="s">
        <v>83</v>
      </c>
      <c r="J20" s="19" t="s">
        <v>68</v>
      </c>
      <c r="K20" s="19" t="s">
        <v>69</v>
      </c>
      <c r="L20" s="19" t="s">
        <v>167</v>
      </c>
      <c r="M20" s="19" t="s">
        <v>117</v>
      </c>
      <c r="N20" s="19" t="s">
        <v>197</v>
      </c>
      <c r="O20" s="19" t="s">
        <v>117</v>
      </c>
      <c r="P20" s="19" t="s">
        <v>169</v>
      </c>
      <c r="Q20" s="19" t="s">
        <v>170</v>
      </c>
      <c r="R20" s="19" t="s">
        <v>198</v>
      </c>
      <c r="S20" s="19"/>
      <c r="T20" s="19" t="s">
        <v>54</v>
      </c>
      <c r="U20" s="19" t="s">
        <v>121</v>
      </c>
      <c r="V20" s="19" t="s">
        <v>101</v>
      </c>
      <c r="W20" s="19" t="s">
        <v>57</v>
      </c>
      <c r="X20" s="19" t="s">
        <v>58</v>
      </c>
      <c r="Y20" s="19"/>
      <c r="Z20" s="19" t="s">
        <v>199</v>
      </c>
      <c r="AA20" s="19">
        <v>2</v>
      </c>
      <c r="AB20" s="19">
        <v>2</v>
      </c>
      <c r="AC20" s="19" t="s">
        <v>60</v>
      </c>
      <c r="AD20" s="19" t="s">
        <v>169</v>
      </c>
      <c r="AE20" s="19" t="s">
        <v>61</v>
      </c>
      <c r="AF20" s="19"/>
    </row>
    <row r="21" spans="1:34">
      <c r="A21" s="19">
        <v>16</v>
      </c>
      <c r="B21" s="19" t="s">
        <v>185</v>
      </c>
      <c r="C21" s="19" t="s">
        <v>200</v>
      </c>
      <c r="D21" s="19" t="str">
        <f>HYPERLINK("http://www.henontech.com/fieldsafety/harzard/harzard_show.php?rid=1371&amp;url=harzardrecs.php","变换巡检室线缆桥架入墙处，开孔大，扣板未盖严，漏雨水，墙壁上照明、充电线盒敞开。雨水流入穿线管，若一名操作工裸手触碰开关触电，轻度灼伤。")</f>
        <v>变换巡检室线缆桥架入墙处，开孔大，扣板未盖严，漏雨水，墙壁上照明、充电线盒敞开。雨水流入穿线管，若一名操作工裸手触碰开关触电，轻度灼伤。</v>
      </c>
      <c r="E21" s="19" t="s">
        <v>201</v>
      </c>
      <c r="F21" s="20" t="s">
        <v>42</v>
      </c>
      <c r="G21" s="21" t="s">
        <v>43</v>
      </c>
      <c r="H21" s="19" t="s">
        <v>44</v>
      </c>
      <c r="I21" s="19"/>
      <c r="J21" s="19" t="s">
        <v>202</v>
      </c>
      <c r="K21" s="19" t="s">
        <v>145</v>
      </c>
      <c r="L21" s="19"/>
      <c r="M21" s="19" t="s">
        <v>96</v>
      </c>
      <c r="N21" s="19" t="s">
        <v>203</v>
      </c>
      <c r="O21" s="19" t="s">
        <v>96</v>
      </c>
      <c r="P21" s="19" t="s">
        <v>97</v>
      </c>
      <c r="Q21" s="19" t="s">
        <v>204</v>
      </c>
      <c r="R21" s="19" t="s">
        <v>205</v>
      </c>
      <c r="S21" s="19"/>
      <c r="T21" s="19" t="s">
        <v>54</v>
      </c>
      <c r="U21" s="19" t="s">
        <v>55</v>
      </c>
      <c r="V21" s="19" t="s">
        <v>56</v>
      </c>
      <c r="W21" s="19" t="s">
        <v>57</v>
      </c>
      <c r="X21" s="19" t="s">
        <v>182</v>
      </c>
      <c r="Y21" s="19"/>
      <c r="Z21" s="19" t="s">
        <v>206</v>
      </c>
      <c r="AA21" s="19">
        <v>2</v>
      </c>
      <c r="AB21" s="19">
        <v>2</v>
      </c>
      <c r="AC21" s="19" t="s">
        <v>60</v>
      </c>
      <c r="AD21" s="19" t="s">
        <v>97</v>
      </c>
      <c r="AE21" s="19" t="s">
        <v>103</v>
      </c>
      <c r="AF21" s="19" t="s">
        <v>207</v>
      </c>
    </row>
    <row r="22" spans="1:34">
      <c r="A22" s="19"/>
      <c r="B22" s="19"/>
      <c r="C22" s="19"/>
      <c r="D22" s="19" t="str">
        <f>HYPERLINK("http://www.henontech.com/fieldsafety/harzard/harzard_show.php?rid=1371&amp;url=harzardrecs.php","变换巡检室线缆桥架入墙处，开孔大，扣板未盖严，漏雨水，墙壁上照明、充电线盒敞开。若雨水流入线路，造成短路，照明电路和控制机柜跳闸，变换装置停车。")</f>
        <v>变换巡检室线缆桥架入墙处，开孔大，扣板未盖严，漏雨水，墙壁上照明、充电线盒敞开。若雨水流入线路，造成短路，照明电路和控制机柜跳闸，变换装置停车。</v>
      </c>
      <c r="E22" s="19" t="s">
        <v>208</v>
      </c>
      <c r="F22" s="19"/>
      <c r="G22" s="19"/>
      <c r="H22" s="19"/>
      <c r="I22" s="19"/>
      <c r="J22" s="19" t="s">
        <v>46</v>
      </c>
      <c r="K22" s="19" t="s">
        <v>209</v>
      </c>
      <c r="L22" s="19"/>
      <c r="M22" s="19"/>
      <c r="N22" s="19"/>
      <c r="O22" s="19"/>
      <c r="P22" s="19"/>
      <c r="Q22" s="19"/>
      <c r="R22" s="19"/>
      <c r="S22" s="19"/>
      <c r="T22" s="19" t="s">
        <v>100</v>
      </c>
      <c r="U22" s="19" t="s">
        <v>75</v>
      </c>
      <c r="V22" s="19" t="s">
        <v>56</v>
      </c>
      <c r="W22" s="19" t="s">
        <v>138</v>
      </c>
      <c r="X22" s="19"/>
      <c r="Y22" s="19"/>
      <c r="Z22" s="19"/>
      <c r="AA22" s="19"/>
      <c r="AB22" s="19"/>
      <c r="AC22" s="19"/>
      <c r="AD22" s="19"/>
      <c r="AE22" s="19"/>
      <c r="AF22" s="19"/>
    </row>
    <row r="23" spans="1:34" customHeight="1" ht="42">
      <c r="A23" s="19">
        <v>17</v>
      </c>
      <c r="B23" s="19" t="s">
        <v>210</v>
      </c>
      <c r="C23" s="19" t="s">
        <v>211</v>
      </c>
      <c r="D23" s="19" t="str">
        <f>HYPERLINK("http://www.henontech.com/fieldsafety/harzard/harzard_show.php?rid=1374&amp;url=harzardrecs.php","外包人员给粗苯终冷塔除锈动工前，监护人在动工前安全隐患排查时发现磨光机电缆线老化、绝缘管破裂，而且电缆线浸泡在水中。如果排查中没有及时发现有人员用脚踩到或触碰到电缆线可能造成人员触电死亡。")</f>
        <v>外包人员给粗苯终冷塔除锈动工前，监护人在动工前安全隐患排查时发现磨光机电缆线老化、绝缘管破裂，而且电缆线浸泡在水中。如果排查中没有及时发现有人员用脚踩到或触碰到电缆线可能造成人员触电死亡。</v>
      </c>
      <c r="E23" s="19" t="s">
        <v>212</v>
      </c>
      <c r="F23" s="20" t="s">
        <v>42</v>
      </c>
      <c r="G23" s="22" t="s">
        <v>66</v>
      </c>
      <c r="H23" s="19" t="s">
        <v>44</v>
      </c>
      <c r="I23" s="19" t="s">
        <v>45</v>
      </c>
      <c r="J23" s="19" t="s">
        <v>202</v>
      </c>
      <c r="K23" s="19" t="s">
        <v>69</v>
      </c>
      <c r="L23" s="19"/>
      <c r="M23" s="19" t="s">
        <v>70</v>
      </c>
      <c r="N23" s="19" t="s">
        <v>213</v>
      </c>
      <c r="O23" s="19" t="s">
        <v>70</v>
      </c>
      <c r="P23" s="19" t="s">
        <v>72</v>
      </c>
      <c r="Q23" s="19" t="s">
        <v>204</v>
      </c>
      <c r="R23" s="19" t="s">
        <v>214</v>
      </c>
      <c r="S23" s="19"/>
      <c r="T23" s="19" t="s">
        <v>54</v>
      </c>
      <c r="U23" s="19" t="s">
        <v>121</v>
      </c>
      <c r="V23" s="19" t="s">
        <v>56</v>
      </c>
      <c r="W23" s="19" t="s">
        <v>122</v>
      </c>
      <c r="X23" s="19"/>
      <c r="Y23" s="19"/>
      <c r="Z23" s="19" t="s">
        <v>215</v>
      </c>
      <c r="AA23" s="19">
        <v>2</v>
      </c>
      <c r="AB23" s="19">
        <v>2</v>
      </c>
      <c r="AC23" s="19" t="s">
        <v>60</v>
      </c>
      <c r="AD23" s="19" t="s">
        <v>72</v>
      </c>
      <c r="AE23" s="19" t="s">
        <v>113</v>
      </c>
      <c r="AF23" s="19"/>
    </row>
    <row r="24" spans="1:34">
      <c r="A24" s="19">
        <v>18</v>
      </c>
      <c r="B24" s="19" t="s">
        <v>210</v>
      </c>
      <c r="C24" s="19" t="s">
        <v>186</v>
      </c>
      <c r="D24" s="19" t="str">
        <f>HYPERLINK("http://www.henontech.com/fieldsafety/harzard/harzard_show.php?rid=1376&amp;url=harzardrecs.php","稠厚器取出管防护罩未在有效位置，操作人员开关阀门时，取出液外溅，造成一名操作人员眼睛和皮肤灼伤。")</f>
        <v>稠厚器取出管防护罩未在有效位置，操作人员开关阀门时，取出液外溅，造成一名操作人员眼睛和皮肤灼伤。</v>
      </c>
      <c r="E24" s="19" t="s">
        <v>216</v>
      </c>
      <c r="F24" s="20" t="s">
        <v>42</v>
      </c>
      <c r="G24" s="22" t="s">
        <v>66</v>
      </c>
      <c r="H24" s="19" t="s">
        <v>44</v>
      </c>
      <c r="I24" s="19" t="s">
        <v>83</v>
      </c>
      <c r="J24" s="19" t="s">
        <v>46</v>
      </c>
      <c r="K24" s="19"/>
      <c r="L24" s="19"/>
      <c r="M24" s="19" t="s">
        <v>96</v>
      </c>
      <c r="N24" s="19" t="s">
        <v>179</v>
      </c>
      <c r="O24" s="19" t="s">
        <v>96</v>
      </c>
      <c r="P24" s="19" t="s">
        <v>217</v>
      </c>
      <c r="Q24" s="19" t="s">
        <v>170</v>
      </c>
      <c r="R24" s="19" t="s">
        <v>218</v>
      </c>
      <c r="S24" s="19"/>
      <c r="T24" s="19" t="s">
        <v>54</v>
      </c>
      <c r="U24" s="19" t="s">
        <v>75</v>
      </c>
      <c r="V24" s="19" t="s">
        <v>101</v>
      </c>
      <c r="W24" s="19" t="s">
        <v>77</v>
      </c>
      <c r="X24" s="19" t="s">
        <v>182</v>
      </c>
      <c r="Y24" s="19"/>
      <c r="Z24" s="19" t="s">
        <v>219</v>
      </c>
      <c r="AA24" s="19">
        <v>1</v>
      </c>
      <c r="AB24" s="19">
        <v>0</v>
      </c>
      <c r="AC24" s="19" t="s">
        <v>60</v>
      </c>
      <c r="AD24" s="19" t="s">
        <v>217</v>
      </c>
      <c r="AE24" s="19" t="s">
        <v>184</v>
      </c>
      <c r="AF24" s="19"/>
    </row>
    <row r="25" spans="1:34" customHeight="1" ht="42">
      <c r="A25" s="19">
        <v>19</v>
      </c>
      <c r="B25" s="19" t="s">
        <v>220</v>
      </c>
      <c r="C25" s="19" t="s">
        <v>221</v>
      </c>
      <c r="D25" s="19" t="str">
        <f>HYPERLINK("http://www.henontech.com/fieldsafety/harzard/harzard_show.php?rid=1384&amp;url=harzardrecs.php","硫酸泵定时加药运行，加药时硫酸管与消防水管道接触振动摩擦，导致硫酸管磨损破裂，巡检人员巡检时少量硫酸溅至巡检人员面部，导致一人面部灼伤，送医治疗损工3天。")</f>
        <v>硫酸泵定时加药运行，加药时硫酸管与消防水管道接触振动摩擦，导致硫酸管磨损破裂，巡检人员巡检时少量硫酸溅至巡检人员面部，导致一人面部灼伤，送医治疗损工3天。</v>
      </c>
      <c r="E25" s="19" t="s">
        <v>222</v>
      </c>
      <c r="F25" s="20" t="s">
        <v>42</v>
      </c>
      <c r="G25" s="21" t="s">
        <v>43</v>
      </c>
      <c r="H25" s="19" t="s">
        <v>44</v>
      </c>
      <c r="I25" s="19" t="s">
        <v>67</v>
      </c>
      <c r="J25" s="19" t="s">
        <v>68</v>
      </c>
      <c r="K25" s="19" t="s">
        <v>47</v>
      </c>
      <c r="L25" s="19" t="s">
        <v>48</v>
      </c>
      <c r="M25" s="19" t="s">
        <v>117</v>
      </c>
      <c r="N25" s="19" t="s">
        <v>223</v>
      </c>
      <c r="O25" s="19" t="s">
        <v>117</v>
      </c>
      <c r="P25" s="19" t="s">
        <v>224</v>
      </c>
      <c r="Q25" s="19" t="s">
        <v>174</v>
      </c>
      <c r="R25" s="19" t="s">
        <v>225</v>
      </c>
      <c r="S25" s="19"/>
      <c r="T25" s="19" t="s">
        <v>54</v>
      </c>
      <c r="U25" s="19" t="s">
        <v>55</v>
      </c>
      <c r="V25" s="19" t="s">
        <v>56</v>
      </c>
      <c r="W25" s="19" t="s">
        <v>57</v>
      </c>
      <c r="X25" s="19" t="s">
        <v>226</v>
      </c>
      <c r="Y25" s="19" t="s">
        <v>226</v>
      </c>
      <c r="Z25" s="19" t="s">
        <v>227</v>
      </c>
      <c r="AA25" s="19">
        <v>2</v>
      </c>
      <c r="AB25" s="19">
        <v>2</v>
      </c>
      <c r="AC25" s="19" t="s">
        <v>60</v>
      </c>
      <c r="AD25" s="19" t="s">
        <v>224</v>
      </c>
      <c r="AE25" s="19" t="s">
        <v>228</v>
      </c>
      <c r="AF25" s="19"/>
    </row>
    <row r="26" spans="1:34" customHeight="1" ht="42">
      <c r="A26" s="19">
        <v>20</v>
      </c>
      <c r="B26" s="19" t="s">
        <v>109</v>
      </c>
      <c r="C26" s="19" t="s">
        <v>229</v>
      </c>
      <c r="D26" s="19" t="str">
        <f>HYPERLINK("http://www.henontech.com/fieldsafety/harzard/harzard_show.php?rid=1393&amp;url=harzardrecs.php","在换向过程中，由于煤气交换旋塞油缸限位固定不牢，致使交换拉条拉过头，造成交换旋塞被拉断的后果。")</f>
        <v>在换向过程中，由于煤气交换旋塞油缸限位固定不牢，致使交换拉条拉过头，造成交换旋塞被拉断的后果。</v>
      </c>
      <c r="E26" s="19" t="s">
        <v>230</v>
      </c>
      <c r="F26" s="20" t="s">
        <v>42</v>
      </c>
      <c r="G26" s="23" t="s">
        <v>231</v>
      </c>
      <c r="H26" s="19" t="s">
        <v>44</v>
      </c>
      <c r="I26" s="19" t="s">
        <v>67</v>
      </c>
      <c r="J26" s="19" t="s">
        <v>46</v>
      </c>
      <c r="K26" s="19" t="s">
        <v>47</v>
      </c>
      <c r="L26" s="19" t="s">
        <v>48</v>
      </c>
      <c r="M26" s="19" t="s">
        <v>117</v>
      </c>
      <c r="N26" s="19" t="s">
        <v>232</v>
      </c>
      <c r="O26" s="19" t="s">
        <v>117</v>
      </c>
      <c r="P26" s="19" t="s">
        <v>233</v>
      </c>
      <c r="Q26" s="19" t="s">
        <v>174</v>
      </c>
      <c r="R26" s="19" t="s">
        <v>234</v>
      </c>
      <c r="S26" s="19"/>
      <c r="T26" s="19" t="s">
        <v>100</v>
      </c>
      <c r="U26" s="19" t="s">
        <v>192</v>
      </c>
      <c r="V26" s="19" t="s">
        <v>101</v>
      </c>
      <c r="W26" s="19" t="s">
        <v>77</v>
      </c>
      <c r="X26" s="19" t="s">
        <v>235</v>
      </c>
      <c r="Y26" s="19" t="s">
        <v>235</v>
      </c>
      <c r="Z26" s="19" t="s">
        <v>236</v>
      </c>
      <c r="AA26" s="19">
        <v>2</v>
      </c>
      <c r="AB26" s="19">
        <v>2</v>
      </c>
      <c r="AC26" s="19" t="s">
        <v>60</v>
      </c>
      <c r="AD26" s="19" t="s">
        <v>233</v>
      </c>
      <c r="AE26" s="19" t="s">
        <v>190</v>
      </c>
      <c r="AF26" s="19"/>
    </row>
    <row r="27" spans="1:34" customHeight="1" ht="42">
      <c r="A27" s="19">
        <v>21</v>
      </c>
      <c r="B27" s="19" t="s">
        <v>109</v>
      </c>
      <c r="C27" s="19" t="s">
        <v>164</v>
      </c>
      <c r="D27" s="19" t="str">
        <f>HYPERLINK("http://www.henontech.com/fieldsafety/harzard/harzard_show.php?rid=1394&amp;url=harzardrecs.php","5.5米焦侧通廊北头上部破损通风道出现掉落，砸中下方巡检人员，可能造成人员手部、颈部轻微划伤，进行消毒包扎处理")</f>
        <v>5.5米焦侧通廊北头上部破损通风道出现掉落，砸中下方巡检人员，可能造成人员手部、颈部轻微划伤，进行消毒包扎处理</v>
      </c>
      <c r="E27" s="19" t="s">
        <v>237</v>
      </c>
      <c r="F27" s="20" t="s">
        <v>42</v>
      </c>
      <c r="G27" s="21" t="s">
        <v>43</v>
      </c>
      <c r="H27" s="19" t="s">
        <v>44</v>
      </c>
      <c r="I27" s="19"/>
      <c r="J27" s="19" t="s">
        <v>46</v>
      </c>
      <c r="K27" s="19"/>
      <c r="L27" s="19"/>
      <c r="M27" s="19" t="s">
        <v>117</v>
      </c>
      <c r="N27" s="19" t="s">
        <v>238</v>
      </c>
      <c r="O27" s="19" t="s">
        <v>117</v>
      </c>
      <c r="P27" s="19" t="s">
        <v>224</v>
      </c>
      <c r="Q27" s="19" t="s">
        <v>174</v>
      </c>
      <c r="R27" s="19" t="s">
        <v>239</v>
      </c>
      <c r="S27" s="19"/>
      <c r="T27" s="19" t="s">
        <v>54</v>
      </c>
      <c r="U27" s="19" t="s">
        <v>75</v>
      </c>
      <c r="V27" s="19" t="s">
        <v>56</v>
      </c>
      <c r="W27" s="19" t="s">
        <v>138</v>
      </c>
      <c r="X27" s="19" t="s">
        <v>226</v>
      </c>
      <c r="Y27" s="19" t="s">
        <v>226</v>
      </c>
      <c r="Z27" s="19" t="s">
        <v>240</v>
      </c>
      <c r="AA27" s="19">
        <v>2</v>
      </c>
      <c r="AB27" s="19">
        <v>2</v>
      </c>
      <c r="AC27" s="19" t="s">
        <v>60</v>
      </c>
      <c r="AD27" s="19" t="s">
        <v>224</v>
      </c>
      <c r="AE27" s="19" t="s">
        <v>241</v>
      </c>
      <c r="AF27" s="19" t="s">
        <v>242</v>
      </c>
    </row>
    <row r="28" spans="1:34" customHeight="1" ht="42">
      <c r="A28" s="19">
        <v>22</v>
      </c>
      <c r="B28" s="19" t="s">
        <v>109</v>
      </c>
      <c r="C28" s="19" t="s">
        <v>243</v>
      </c>
      <c r="D28" s="19" t="str">
        <f>HYPERLINK("http://www.henontech.com/fieldsafety/harzard/harzard_show.php?rid=1395&amp;url=harzardrecs.php","2#炉焦侧熄焦上部防护网部分断裂，如果防护网全部断裂砸伤人员，可能造成人员头部出血，去医院包扎止血的损工事故")</f>
        <v>2#炉焦侧熄焦上部防护网部分断裂，如果防护网全部断裂砸伤人员，可能造成人员头部出血，去医院包扎止血的损工事故</v>
      </c>
      <c r="E28" s="19" t="s">
        <v>244</v>
      </c>
      <c r="F28" s="20" t="s">
        <v>42</v>
      </c>
      <c r="G28" s="21" t="s">
        <v>43</v>
      </c>
      <c r="H28" s="19" t="s">
        <v>44</v>
      </c>
      <c r="I28" s="19"/>
      <c r="J28" s="19" t="s">
        <v>46</v>
      </c>
      <c r="K28" s="19"/>
      <c r="L28" s="19"/>
      <c r="M28" s="19" t="s">
        <v>117</v>
      </c>
      <c r="N28" s="19" t="s">
        <v>233</v>
      </c>
      <c r="O28" s="19" t="s">
        <v>117</v>
      </c>
      <c r="P28" s="19" t="s">
        <v>224</v>
      </c>
      <c r="Q28" s="19" t="s">
        <v>174</v>
      </c>
      <c r="R28" s="19" t="s">
        <v>245</v>
      </c>
      <c r="S28" s="19"/>
      <c r="T28" s="19" t="s">
        <v>54</v>
      </c>
      <c r="U28" s="19" t="s">
        <v>55</v>
      </c>
      <c r="V28" s="19" t="s">
        <v>101</v>
      </c>
      <c r="W28" s="19" t="s">
        <v>138</v>
      </c>
      <c r="X28" s="19" t="s">
        <v>235</v>
      </c>
      <c r="Y28" s="19" t="s">
        <v>235</v>
      </c>
      <c r="Z28" s="19" t="s">
        <v>246</v>
      </c>
      <c r="AA28" s="19">
        <v>2</v>
      </c>
      <c r="AB28" s="19">
        <v>2</v>
      </c>
      <c r="AC28" s="19" t="s">
        <v>60</v>
      </c>
      <c r="AD28" s="19" t="s">
        <v>224</v>
      </c>
      <c r="AE28" s="19" t="s">
        <v>113</v>
      </c>
      <c r="AF28" s="19"/>
    </row>
    <row r="29" spans="1:34">
      <c r="A29" s="19">
        <v>23</v>
      </c>
      <c r="B29" s="19" t="s">
        <v>247</v>
      </c>
      <c r="C29" s="19" t="s">
        <v>248</v>
      </c>
      <c r="D29" s="19" t="str">
        <f>HYPERLINK("http://www.henontech.com/fieldsafety/harzard/harzard_show.php?rid=1401&amp;url=harzardrecs.php","2号调节池提升泵操作平台腐蚀严重存在安全隐患")</f>
        <v>2号调节池提升泵操作平台腐蚀严重存在安全隐患</v>
      </c>
      <c r="E29" s="19" t="s">
        <v>249</v>
      </c>
      <c r="F29" s="20" t="s">
        <v>42</v>
      </c>
      <c r="G29" s="21" t="s">
        <v>43</v>
      </c>
      <c r="H29" s="19" t="s">
        <v>44</v>
      </c>
      <c r="I29" s="19" t="s">
        <v>45</v>
      </c>
      <c r="J29" s="19" t="s">
        <v>46</v>
      </c>
      <c r="K29" s="19" t="s">
        <v>69</v>
      </c>
      <c r="L29" s="19"/>
      <c r="M29" s="19" t="s">
        <v>49</v>
      </c>
      <c r="N29" s="19" t="s">
        <v>250</v>
      </c>
      <c r="O29" s="19" t="s">
        <v>49</v>
      </c>
      <c r="P29" s="19" t="s">
        <v>51</v>
      </c>
      <c r="Q29" s="19" t="s">
        <v>251</v>
      </c>
      <c r="R29" s="19" t="s">
        <v>252</v>
      </c>
      <c r="S29" s="19"/>
      <c r="T29" s="19" t="s">
        <v>54</v>
      </c>
      <c r="U29" s="19" t="s">
        <v>75</v>
      </c>
      <c r="V29" s="19" t="s">
        <v>56</v>
      </c>
      <c r="W29" s="19" t="s">
        <v>138</v>
      </c>
      <c r="X29" s="19" t="s">
        <v>58</v>
      </c>
      <c r="Y29" s="19" t="s">
        <v>58</v>
      </c>
      <c r="Z29" s="19" t="s">
        <v>253</v>
      </c>
      <c r="AA29" s="19">
        <v>1</v>
      </c>
      <c r="AB29" s="19">
        <v>1</v>
      </c>
      <c r="AC29" s="19" t="s">
        <v>60</v>
      </c>
      <c r="AD29" s="19" t="s">
        <v>51</v>
      </c>
      <c r="AE29" s="19" t="s">
        <v>61</v>
      </c>
      <c r="AF29" s="19" t="s">
        <v>254</v>
      </c>
    </row>
    <row r="30" spans="1:34">
      <c r="A30" s="19">
        <v>24</v>
      </c>
      <c r="B30" s="19" t="s">
        <v>247</v>
      </c>
      <c r="C30" s="19" t="s">
        <v>176</v>
      </c>
      <c r="D30" s="19" t="str">
        <f>HYPERLINK("http://www.henontech.com/fieldsafety/harzard/harzard_show.php?rid=1404&amp;url=harzardrecs.php","巡检工巡检时因地面有积水且地沟小井盖板未覆盖导致脚部打滑跌落致小井，造成一名巡检工脚腕扭伤，就医治疗。")</f>
        <v>巡检工巡检时因地面有积水且地沟小井盖板未覆盖导致脚部打滑跌落致小井，造成一名巡检工脚腕扭伤，就医治疗。</v>
      </c>
      <c r="E30" s="19" t="s">
        <v>255</v>
      </c>
      <c r="F30" s="20" t="s">
        <v>42</v>
      </c>
      <c r="G30" s="23" t="s">
        <v>231</v>
      </c>
      <c r="H30" s="19" t="s">
        <v>44</v>
      </c>
      <c r="I30" s="19" t="s">
        <v>83</v>
      </c>
      <c r="J30" s="19" t="s">
        <v>46</v>
      </c>
      <c r="K30" s="19" t="s">
        <v>69</v>
      </c>
      <c r="L30" s="19"/>
      <c r="M30" s="19" t="s">
        <v>96</v>
      </c>
      <c r="N30" s="19" t="s">
        <v>180</v>
      </c>
      <c r="O30" s="19" t="s">
        <v>96</v>
      </c>
      <c r="P30" s="19" t="s">
        <v>180</v>
      </c>
      <c r="Q30" s="19" t="s">
        <v>174</v>
      </c>
      <c r="R30" s="19" t="s">
        <v>256</v>
      </c>
      <c r="S30" s="19"/>
      <c r="T30" s="19" t="s">
        <v>54</v>
      </c>
      <c r="U30" s="19" t="s">
        <v>75</v>
      </c>
      <c r="V30" s="19" t="s">
        <v>101</v>
      </c>
      <c r="W30" s="19" t="s">
        <v>77</v>
      </c>
      <c r="X30" s="19" t="s">
        <v>182</v>
      </c>
      <c r="Y30" s="19"/>
      <c r="Z30" s="19" t="s">
        <v>257</v>
      </c>
      <c r="AA30" s="19">
        <v>1</v>
      </c>
      <c r="AB30" s="19">
        <v>1</v>
      </c>
      <c r="AC30" s="19" t="s">
        <v>60</v>
      </c>
      <c r="AD30" s="19" t="s">
        <v>180</v>
      </c>
      <c r="AE30" s="19" t="s">
        <v>258</v>
      </c>
      <c r="AF30" s="19"/>
    </row>
    <row r="31" spans="1:34">
      <c r="A31" s="19">
        <v>25</v>
      </c>
      <c r="B31" s="19" t="s">
        <v>247</v>
      </c>
      <c r="C31" s="19" t="s">
        <v>96</v>
      </c>
      <c r="D31" s="19" t="str">
        <f>HYPERLINK("http://www.henontech.com/fieldsafety/harzard/harzard_show.php?rid=1405&amp;url=harzardrecs.php","空分工段液氧管线阀门处无保温，长时间暴露导致阀门处结霜，操作人员开关阀门时被冻伤。")</f>
        <v>空分工段液氧管线阀门处无保温，长时间暴露导致阀门处结霜，操作人员开关阀门时被冻伤。</v>
      </c>
      <c r="E31" s="19" t="s">
        <v>259</v>
      </c>
      <c r="F31" s="20" t="s">
        <v>42</v>
      </c>
      <c r="G31" s="22" t="s">
        <v>66</v>
      </c>
      <c r="H31" s="19" t="s">
        <v>44</v>
      </c>
      <c r="I31" s="19" t="s">
        <v>67</v>
      </c>
      <c r="J31" s="19" t="s">
        <v>260</v>
      </c>
      <c r="K31" s="19" t="s">
        <v>69</v>
      </c>
      <c r="L31" s="19" t="s">
        <v>48</v>
      </c>
      <c r="M31" s="19" t="s">
        <v>96</v>
      </c>
      <c r="N31" s="19" t="s">
        <v>261</v>
      </c>
      <c r="O31" s="19" t="s">
        <v>96</v>
      </c>
      <c r="P31" s="19" t="s">
        <v>180</v>
      </c>
      <c r="Q31" s="19" t="s">
        <v>262</v>
      </c>
      <c r="R31" s="19" t="s">
        <v>263</v>
      </c>
      <c r="S31" s="19"/>
      <c r="T31" s="19" t="s">
        <v>54</v>
      </c>
      <c r="U31" s="19" t="s">
        <v>75</v>
      </c>
      <c r="V31" s="19" t="s">
        <v>76</v>
      </c>
      <c r="W31" s="19" t="s">
        <v>77</v>
      </c>
      <c r="X31" s="19" t="s">
        <v>182</v>
      </c>
      <c r="Y31" s="19"/>
      <c r="Z31" s="19" t="s">
        <v>264</v>
      </c>
      <c r="AA31" s="19">
        <v>1</v>
      </c>
      <c r="AB31" s="19">
        <v>1</v>
      </c>
      <c r="AC31" s="19" t="s">
        <v>60</v>
      </c>
      <c r="AD31" s="19" t="s">
        <v>180</v>
      </c>
      <c r="AE31" s="19" t="s">
        <v>184</v>
      </c>
      <c r="AF31" s="19"/>
    </row>
    <row r="32" spans="1:34">
      <c r="A32" s="19">
        <v>26</v>
      </c>
      <c r="B32" s="19" t="s">
        <v>265</v>
      </c>
      <c r="C32" s="19" t="s">
        <v>266</v>
      </c>
      <c r="D32" s="19" t="str">
        <f>HYPERLINK("http://www.henontech.com/fieldsafety/harzard/harzard_show.php?rid=1413&amp;url=harzardrecs.php","大回流放空阀门下部放空管腐蚀严重，如果操作人员在放空管线内冷凝液时，腐蚀的管线未及时更换，会造成冷凝液落地，形成环保事故")</f>
        <v>大回流放空阀门下部放空管腐蚀严重，如果操作人员在放空管线内冷凝液时，腐蚀的管线未及时更换，会造成冷凝液落地，形成环保事故</v>
      </c>
      <c r="E32" s="19" t="s">
        <v>267</v>
      </c>
      <c r="F32" s="20" t="s">
        <v>42</v>
      </c>
      <c r="G32" s="21" t="s">
        <v>43</v>
      </c>
      <c r="H32" s="19" t="s">
        <v>44</v>
      </c>
      <c r="I32" s="19" t="s">
        <v>83</v>
      </c>
      <c r="J32" s="19" t="s">
        <v>46</v>
      </c>
      <c r="K32" s="19" t="s">
        <v>69</v>
      </c>
      <c r="L32" s="19" t="s">
        <v>48</v>
      </c>
      <c r="M32" s="19" t="s">
        <v>70</v>
      </c>
      <c r="N32" s="19" t="s">
        <v>268</v>
      </c>
      <c r="O32" s="19" t="s">
        <v>70</v>
      </c>
      <c r="P32" s="19" t="s">
        <v>72</v>
      </c>
      <c r="Q32" s="19" t="s">
        <v>125</v>
      </c>
      <c r="R32" s="19" t="s">
        <v>269</v>
      </c>
      <c r="S32" s="19"/>
      <c r="T32" s="19" t="s">
        <v>270</v>
      </c>
      <c r="U32" s="19" t="s">
        <v>192</v>
      </c>
      <c r="V32" s="19" t="s">
        <v>271</v>
      </c>
      <c r="W32" s="19" t="s">
        <v>77</v>
      </c>
      <c r="X32" s="19"/>
      <c r="Y32" s="19"/>
      <c r="Z32" s="19" t="s">
        <v>272</v>
      </c>
      <c r="AA32" s="19">
        <v>1</v>
      </c>
      <c r="AB32" s="19">
        <v>1</v>
      </c>
      <c r="AC32" s="19" t="s">
        <v>60</v>
      </c>
      <c r="AD32" s="19" t="s">
        <v>72</v>
      </c>
      <c r="AE32" s="19" t="s">
        <v>113</v>
      </c>
      <c r="AF32" s="19"/>
    </row>
    <row r="33" spans="1:34" customHeight="1" ht="42">
      <c r="A33" s="19">
        <v>27</v>
      </c>
      <c r="B33" s="19" t="s">
        <v>265</v>
      </c>
      <c r="C33" s="19" t="s">
        <v>195</v>
      </c>
      <c r="D33" s="19" t="str">
        <f>HYPERLINK("http://www.henontech.com/fieldsafety/harzard/harzard_show.php?rid=1414&amp;url=harzardrecs.php","5.5米焦炉地下室南头西侧蒸汽管道法兰连接处漏汽，一人员经过此处时不慎被泄露的蒸汽烫伤，造成右侧面部深二度烫伤，送医治疗20天后出院。")</f>
        <v>5.5米焦炉地下室南头西侧蒸汽管道法兰连接处漏汽，一人员经过此处时不慎被泄露的蒸汽烫伤，造成右侧面部深二度烫伤，送医治疗20天后出院。</v>
      </c>
      <c r="E33" s="19" t="s">
        <v>273</v>
      </c>
      <c r="F33" s="20" t="s">
        <v>42</v>
      </c>
      <c r="G33" s="22" t="s">
        <v>66</v>
      </c>
      <c r="H33" s="19" t="s">
        <v>44</v>
      </c>
      <c r="I33" s="19" t="s">
        <v>45</v>
      </c>
      <c r="J33" s="19" t="s">
        <v>93</v>
      </c>
      <c r="K33" s="19" t="s">
        <v>47</v>
      </c>
      <c r="L33" s="19" t="s">
        <v>48</v>
      </c>
      <c r="M33" s="19" t="s">
        <v>117</v>
      </c>
      <c r="N33" s="19" t="s">
        <v>274</v>
      </c>
      <c r="O33" s="19" t="s">
        <v>117</v>
      </c>
      <c r="P33" s="19" t="s">
        <v>224</v>
      </c>
      <c r="Q33" s="19" t="s">
        <v>103</v>
      </c>
      <c r="R33" s="19" t="s">
        <v>275</v>
      </c>
      <c r="S33" s="19"/>
      <c r="T33" s="19" t="s">
        <v>54</v>
      </c>
      <c r="U33" s="19" t="s">
        <v>55</v>
      </c>
      <c r="V33" s="19" t="s">
        <v>56</v>
      </c>
      <c r="W33" s="19" t="s">
        <v>57</v>
      </c>
      <c r="X33" s="19" t="s">
        <v>58</v>
      </c>
      <c r="Y33" s="19"/>
      <c r="Z33" s="19" t="s">
        <v>276</v>
      </c>
      <c r="AA33" s="19">
        <v>2</v>
      </c>
      <c r="AB33" s="19">
        <v>2</v>
      </c>
      <c r="AC33" s="19" t="s">
        <v>60</v>
      </c>
      <c r="AD33" s="19" t="s">
        <v>224</v>
      </c>
      <c r="AE33" s="19" t="s">
        <v>113</v>
      </c>
      <c r="AF33" s="19"/>
    </row>
    <row r="34" spans="1:34" customHeight="1" ht="42">
      <c r="A34" s="19">
        <v>28</v>
      </c>
      <c r="B34" s="19" t="s">
        <v>277</v>
      </c>
      <c r="C34" s="19" t="s">
        <v>278</v>
      </c>
      <c r="D34" s="19" t="str">
        <f>HYPERLINK("http://www.henontech.com/fieldsafety/harzard/harzard_show.php?rid=1416&amp;url=harzardrecs.php","化验员在取样时因取样口太小且夹在两管道之间，需下蹲身体前倾才能取样，极其不便，另取样口上方管道侧面延伸出一废旧弯头，每次取样时都磕碰在安全帽上，存在安全隐患")</f>
        <v>化验员在取样时因取样口太小且夹在两管道之间，需下蹲身体前倾才能取样，极其不便，另取样口上方管道侧面延伸出一废旧弯头，每次取样时都磕碰在安全帽上，存在安全隐患</v>
      </c>
      <c r="E34" s="19" t="s">
        <v>279</v>
      </c>
      <c r="F34" s="20" t="s">
        <v>42</v>
      </c>
      <c r="G34" s="21" t="s">
        <v>43</v>
      </c>
      <c r="H34" s="19" t="s">
        <v>44</v>
      </c>
      <c r="I34" s="19" t="s">
        <v>83</v>
      </c>
      <c r="J34" s="19" t="s">
        <v>68</v>
      </c>
      <c r="K34" s="19" t="s">
        <v>69</v>
      </c>
      <c r="L34" s="19" t="s">
        <v>280</v>
      </c>
      <c r="M34" s="19" t="s">
        <v>49</v>
      </c>
      <c r="N34" s="19" t="s">
        <v>50</v>
      </c>
      <c r="O34" s="19" t="s">
        <v>49</v>
      </c>
      <c r="P34" s="19" t="s">
        <v>51</v>
      </c>
      <c r="Q34" s="19" t="s">
        <v>125</v>
      </c>
      <c r="R34" s="19" t="s">
        <v>281</v>
      </c>
      <c r="S34" s="19" t="s">
        <v>282</v>
      </c>
      <c r="T34" s="19" t="s">
        <v>54</v>
      </c>
      <c r="U34" s="19" t="s">
        <v>55</v>
      </c>
      <c r="V34" s="19" t="s">
        <v>56</v>
      </c>
      <c r="W34" s="19" t="s">
        <v>57</v>
      </c>
      <c r="X34" s="19" t="s">
        <v>58</v>
      </c>
      <c r="Y34" s="19" t="s">
        <v>58</v>
      </c>
      <c r="Z34" s="19" t="s">
        <v>283</v>
      </c>
      <c r="AA34" s="19">
        <v>2</v>
      </c>
      <c r="AB34" s="19">
        <v>2</v>
      </c>
      <c r="AC34" s="19" t="s">
        <v>60</v>
      </c>
      <c r="AD34" s="19" t="s">
        <v>51</v>
      </c>
      <c r="AE34" s="19" t="s">
        <v>190</v>
      </c>
      <c r="AF34" s="19" t="s">
        <v>62</v>
      </c>
    </row>
    <row r="35" spans="1:34">
      <c r="A35" s="19">
        <v>29</v>
      </c>
      <c r="B35" s="19" t="s">
        <v>277</v>
      </c>
      <c r="C35" s="19" t="s">
        <v>284</v>
      </c>
      <c r="D35" s="19" t="str">
        <f>HYPERLINK("http://www.henontech.com/fieldsafety/harzard/harzard_show.php?rid=1423&amp;url=harzardrecs.php","西二后尾爬梯腐蚀")</f>
        <v>西二后尾爬梯腐蚀</v>
      </c>
      <c r="E35" s="19" t="s">
        <v>54</v>
      </c>
      <c r="F35" s="20" t="s">
        <v>42</v>
      </c>
      <c r="G35" s="21" t="s">
        <v>43</v>
      </c>
      <c r="H35" s="19" t="s">
        <v>44</v>
      </c>
      <c r="I35" s="19" t="s">
        <v>83</v>
      </c>
      <c r="J35" s="19" t="s">
        <v>46</v>
      </c>
      <c r="K35" s="19" t="s">
        <v>47</v>
      </c>
      <c r="L35" s="19"/>
      <c r="M35" s="19" t="s">
        <v>285</v>
      </c>
      <c r="N35" s="19" t="s">
        <v>286</v>
      </c>
      <c r="O35" s="19" t="s">
        <v>285</v>
      </c>
      <c r="P35" s="19" t="s">
        <v>287</v>
      </c>
      <c r="Q35" s="19" t="s">
        <v>288</v>
      </c>
      <c r="R35" s="19" t="s">
        <v>289</v>
      </c>
      <c r="S35" s="19"/>
      <c r="T35" s="19" t="s">
        <v>54</v>
      </c>
      <c r="U35" s="19" t="s">
        <v>192</v>
      </c>
      <c r="V35" s="19" t="s">
        <v>76</v>
      </c>
      <c r="W35" s="19" t="s">
        <v>77</v>
      </c>
      <c r="X35" s="19"/>
      <c r="Y35" s="19"/>
      <c r="Z35" s="19" t="s">
        <v>290</v>
      </c>
      <c r="AA35" s="19">
        <v>1</v>
      </c>
      <c r="AB35" s="19">
        <v>1</v>
      </c>
      <c r="AC35" s="19" t="s">
        <v>60</v>
      </c>
      <c r="AD35" s="19" t="s">
        <v>287</v>
      </c>
      <c r="AE35" s="19" t="s">
        <v>288</v>
      </c>
      <c r="AF35" s="19" t="s">
        <v>291</v>
      </c>
    </row>
    <row r="36" spans="1:34" customHeight="1" ht="42">
      <c r="A36" s="19">
        <v>30</v>
      </c>
      <c r="B36" s="19" t="s">
        <v>292</v>
      </c>
      <c r="C36" s="19" t="s">
        <v>293</v>
      </c>
      <c r="D36" s="19" t="str">
        <f>HYPERLINK("http://www.henontech.com/fieldsafety/harzard/harzard_show.php?rid=1438&amp;url=harzardrecs.php","北风机1#初冷器煤气出口阀门平台处，平台与初冷器器体间隙过大，如果一名操作人员在开关煤气出口阀门时，右腿不慎从间隙处踩空掉落，造成右腿部多处轻微擦伤，经简单处理后不影响工作。")</f>
        <v>北风机1#初冷器煤气出口阀门平台处，平台与初冷器器体间隙过大，如果一名操作人员在开关煤气出口阀门时，右腿不慎从间隙处踩空掉落，造成右腿部多处轻微擦伤，经简单处理后不影响工作。</v>
      </c>
      <c r="E36" s="19" t="s">
        <v>294</v>
      </c>
      <c r="F36" s="20" t="s">
        <v>42</v>
      </c>
      <c r="G36" s="21" t="s">
        <v>43</v>
      </c>
      <c r="H36" s="19" t="s">
        <v>44</v>
      </c>
      <c r="I36" s="19" t="s">
        <v>67</v>
      </c>
      <c r="J36" s="19" t="s">
        <v>46</v>
      </c>
      <c r="K36" s="19" t="s">
        <v>69</v>
      </c>
      <c r="L36" s="19" t="s">
        <v>48</v>
      </c>
      <c r="M36" s="19" t="s">
        <v>70</v>
      </c>
      <c r="N36" s="19" t="s">
        <v>295</v>
      </c>
      <c r="O36" s="19" t="s">
        <v>70</v>
      </c>
      <c r="P36" s="19" t="s">
        <v>72</v>
      </c>
      <c r="Q36" s="19" t="s">
        <v>103</v>
      </c>
      <c r="R36" s="19" t="s">
        <v>296</v>
      </c>
      <c r="S36" s="19"/>
      <c r="T36" s="19" t="s">
        <v>54</v>
      </c>
      <c r="U36" s="19" t="s">
        <v>75</v>
      </c>
      <c r="V36" s="19" t="s">
        <v>101</v>
      </c>
      <c r="W36" s="19" t="s">
        <v>77</v>
      </c>
      <c r="X36" s="19"/>
      <c r="Y36" s="19"/>
      <c r="Z36" s="19" t="s">
        <v>297</v>
      </c>
      <c r="AA36" s="19">
        <v>2</v>
      </c>
      <c r="AB36" s="19">
        <v>2</v>
      </c>
      <c r="AC36" s="19" t="s">
        <v>60</v>
      </c>
      <c r="AD36" s="19" t="s">
        <v>72</v>
      </c>
      <c r="AE36" s="19" t="s">
        <v>113</v>
      </c>
      <c r="AF36" s="19"/>
    </row>
    <row r="37" spans="1:34">
      <c r="A37" s="19">
        <v>31</v>
      </c>
      <c r="B37" s="19" t="s">
        <v>298</v>
      </c>
      <c r="C37" s="19" t="s">
        <v>299</v>
      </c>
      <c r="D37" s="19" t="str">
        <f>HYPERLINK("http://www.henontech.com/fieldsafety/harzard/harzard_show.php?rid=1458&amp;url=harzardrecs.php","一操作工夜间开一次水补水阀时，由于现场排水沟盖板缺失，未能及时发现，右脚踩空掉入沟中，造成右脚踝脱臼。")</f>
        <v>一操作工夜间开一次水补水阀时，由于现场排水沟盖板缺失，未能及时发现，右脚踩空掉入沟中，造成右脚踝脱臼。</v>
      </c>
      <c r="E37" s="19" t="s">
        <v>300</v>
      </c>
      <c r="F37" s="20" t="s">
        <v>42</v>
      </c>
      <c r="G37" s="21" t="s">
        <v>43</v>
      </c>
      <c r="H37" s="19" t="s">
        <v>44</v>
      </c>
      <c r="I37" s="19" t="s">
        <v>45</v>
      </c>
      <c r="J37" s="19" t="s">
        <v>46</v>
      </c>
      <c r="K37" s="19" t="s">
        <v>69</v>
      </c>
      <c r="L37" s="19" t="s">
        <v>48</v>
      </c>
      <c r="M37" s="19" t="s">
        <v>117</v>
      </c>
      <c r="N37" s="19" t="s">
        <v>301</v>
      </c>
      <c r="O37" s="19" t="s">
        <v>117</v>
      </c>
      <c r="P37" s="19" t="s">
        <v>302</v>
      </c>
      <c r="Q37" s="19" t="s">
        <v>303</v>
      </c>
      <c r="R37" s="19" t="s">
        <v>304</v>
      </c>
      <c r="S37" s="19" t="s">
        <v>305</v>
      </c>
      <c r="T37" s="19" t="s">
        <v>54</v>
      </c>
      <c r="U37" s="19" t="s">
        <v>75</v>
      </c>
      <c r="V37" s="19" t="s">
        <v>56</v>
      </c>
      <c r="W37" s="19" t="s">
        <v>138</v>
      </c>
      <c r="X37" s="19" t="s">
        <v>58</v>
      </c>
      <c r="Y37" s="19"/>
      <c r="Z37" s="19" t="s">
        <v>306</v>
      </c>
      <c r="AA37" s="19">
        <v>1</v>
      </c>
      <c r="AB37" s="19">
        <v>1</v>
      </c>
      <c r="AC37" s="19" t="s">
        <v>60</v>
      </c>
      <c r="AD37" s="19" t="s">
        <v>302</v>
      </c>
      <c r="AE37" s="19" t="s">
        <v>307</v>
      </c>
      <c r="AF37" s="19" t="s">
        <v>308</v>
      </c>
    </row>
    <row r="38" spans="1:34">
      <c r="A38" s="19">
        <v>32</v>
      </c>
      <c r="B38" s="19" t="s">
        <v>298</v>
      </c>
      <c r="C38" s="19" t="s">
        <v>299</v>
      </c>
      <c r="D38" s="19" t="str">
        <f>HYPERLINK("http://www.henontech.com/fieldsafety/harzard/harzard_show.php?rid=1461&amp;url=harzardrecs.php","一巡检人员在操作消防水池补水阀时，由于排水沟盖板缺失，未能及时发现，左脚不慎踩空掉入沟中，造成左腿划伤")</f>
        <v>一巡检人员在操作消防水池补水阀时，由于排水沟盖板缺失，未能及时发现，左脚不慎踩空掉入沟中，造成左腿划伤</v>
      </c>
      <c r="E38" s="19" t="s">
        <v>309</v>
      </c>
      <c r="F38" s="20" t="s">
        <v>42</v>
      </c>
      <c r="G38" s="21" t="s">
        <v>43</v>
      </c>
      <c r="H38" s="19" t="s">
        <v>44</v>
      </c>
      <c r="I38" s="19" t="s">
        <v>45</v>
      </c>
      <c r="J38" s="19" t="s">
        <v>46</v>
      </c>
      <c r="K38" s="19" t="s">
        <v>69</v>
      </c>
      <c r="L38" s="19" t="s">
        <v>48</v>
      </c>
      <c r="M38" s="19" t="s">
        <v>117</v>
      </c>
      <c r="N38" s="19" t="s">
        <v>310</v>
      </c>
      <c r="O38" s="19" t="s">
        <v>117</v>
      </c>
      <c r="P38" s="19" t="s">
        <v>302</v>
      </c>
      <c r="Q38" s="19" t="s">
        <v>303</v>
      </c>
      <c r="R38" s="19" t="s">
        <v>311</v>
      </c>
      <c r="S38" s="19" t="s">
        <v>312</v>
      </c>
      <c r="T38" s="19" t="s">
        <v>54</v>
      </c>
      <c r="U38" s="19" t="s">
        <v>75</v>
      </c>
      <c r="V38" s="19" t="s">
        <v>56</v>
      </c>
      <c r="W38" s="19" t="s">
        <v>138</v>
      </c>
      <c r="X38" s="19" t="s">
        <v>58</v>
      </c>
      <c r="Y38" s="19"/>
      <c r="Z38" s="19" t="s">
        <v>306</v>
      </c>
      <c r="AA38" s="19">
        <v>1</v>
      </c>
      <c r="AB38" s="19">
        <v>1</v>
      </c>
      <c r="AC38" s="19" t="s">
        <v>60</v>
      </c>
      <c r="AD38" s="19" t="s">
        <v>302</v>
      </c>
      <c r="AE38" s="19" t="s">
        <v>313</v>
      </c>
      <c r="AF38" s="19" t="s">
        <v>314</v>
      </c>
    </row>
    <row r="39" spans="1:34" customHeight="1" ht="42">
      <c r="A39" s="19">
        <v>33</v>
      </c>
      <c r="B39" s="19" t="s">
        <v>288</v>
      </c>
      <c r="C39" s="19" t="s">
        <v>221</v>
      </c>
      <c r="D39" s="19" t="str">
        <f>HYPERLINK("http://www.henontech.com/fieldsafety/harzard/harzard_show.php?rid=1463&amp;url=harzardrecs.php","一员工开关阀门时，从硫酸加药管底部走过，由于硫酸加药管道未加防护装置，管道腐蚀，硫酸滴落在人员背部，造成轻微灼伤")</f>
        <v>一员工开关阀门时，从硫酸加药管底部走过，由于硫酸加药管道未加防护装置，管道腐蚀，硫酸滴落在人员背部，造成轻微灼伤</v>
      </c>
      <c r="E39" s="19" t="s">
        <v>315</v>
      </c>
      <c r="F39" s="20" t="s">
        <v>42</v>
      </c>
      <c r="G39" s="21" t="s">
        <v>43</v>
      </c>
      <c r="H39" s="19" t="s">
        <v>44</v>
      </c>
      <c r="I39" s="19" t="s">
        <v>45</v>
      </c>
      <c r="J39" s="19" t="s">
        <v>68</v>
      </c>
      <c r="K39" s="19" t="s">
        <v>145</v>
      </c>
      <c r="L39" s="19"/>
      <c r="M39" s="19" t="s">
        <v>117</v>
      </c>
      <c r="N39" s="19" t="s">
        <v>316</v>
      </c>
      <c r="O39" s="19" t="s">
        <v>117</v>
      </c>
      <c r="P39" s="19" t="s">
        <v>223</v>
      </c>
      <c r="Q39" s="19" t="s">
        <v>303</v>
      </c>
      <c r="R39" s="19" t="s">
        <v>317</v>
      </c>
      <c r="S39" s="19" t="s">
        <v>318</v>
      </c>
      <c r="T39" s="19" t="s">
        <v>54</v>
      </c>
      <c r="U39" s="19" t="s">
        <v>75</v>
      </c>
      <c r="V39" s="19" t="s">
        <v>56</v>
      </c>
      <c r="W39" s="19" t="s">
        <v>138</v>
      </c>
      <c r="X39" s="19" t="s">
        <v>226</v>
      </c>
      <c r="Y39" s="19" t="s">
        <v>319</v>
      </c>
      <c r="Z39" s="19" t="s">
        <v>320</v>
      </c>
      <c r="AA39" s="19">
        <v>2</v>
      </c>
      <c r="AB39" s="19">
        <v>2</v>
      </c>
      <c r="AC39" s="19" t="s">
        <v>60</v>
      </c>
      <c r="AD39" s="19" t="s">
        <v>223</v>
      </c>
      <c r="AE39" s="19" t="s">
        <v>321</v>
      </c>
      <c r="AF39" s="19" t="s">
        <v>322</v>
      </c>
    </row>
    <row r="40" spans="1:34">
      <c r="A40" s="19">
        <v>34</v>
      </c>
      <c r="B40" s="19" t="s">
        <v>288</v>
      </c>
      <c r="C40" s="19" t="s">
        <v>323</v>
      </c>
      <c r="D40" s="19" t="str">
        <f>HYPERLINK("http://www.henontech.com/fieldsafety/harzard/harzard_show.php?rid=1466&amp;url=harzardrecs.php","码垛机防护栏未及时关闭，巡检工在巡检过程中码垛盘上碳酸氢铵从上部掉落，造成砸伤事故。")</f>
        <v>码垛机防护栏未及时关闭，巡检工在巡检过程中码垛盘上碳酸氢铵从上部掉落，造成砸伤事故。</v>
      </c>
      <c r="E40" s="19" t="s">
        <v>324</v>
      </c>
      <c r="F40" s="20" t="s">
        <v>42</v>
      </c>
      <c r="G40" s="23" t="s">
        <v>231</v>
      </c>
      <c r="H40" s="19" t="s">
        <v>44</v>
      </c>
      <c r="I40" s="19"/>
      <c r="J40" s="19" t="s">
        <v>68</v>
      </c>
      <c r="K40" s="19" t="s">
        <v>145</v>
      </c>
      <c r="L40" s="19"/>
      <c r="M40" s="19" t="s">
        <v>96</v>
      </c>
      <c r="N40" s="19" t="s">
        <v>217</v>
      </c>
      <c r="O40" s="19" t="s">
        <v>96</v>
      </c>
      <c r="P40" s="19" t="s">
        <v>217</v>
      </c>
      <c r="Q40" s="19" t="s">
        <v>303</v>
      </c>
      <c r="R40" s="19" t="s">
        <v>325</v>
      </c>
      <c r="S40" s="19"/>
      <c r="T40" s="19" t="s">
        <v>54</v>
      </c>
      <c r="U40" s="19" t="s">
        <v>75</v>
      </c>
      <c r="V40" s="19" t="s">
        <v>101</v>
      </c>
      <c r="W40" s="19" t="s">
        <v>77</v>
      </c>
      <c r="X40" s="19" t="s">
        <v>182</v>
      </c>
      <c r="Y40" s="19" t="s">
        <v>182</v>
      </c>
      <c r="Z40" s="19" t="s">
        <v>326</v>
      </c>
      <c r="AA40" s="19">
        <v>1</v>
      </c>
      <c r="AB40" s="19">
        <v>0</v>
      </c>
      <c r="AC40" s="19" t="s">
        <v>60</v>
      </c>
      <c r="AD40" s="19" t="s">
        <v>217</v>
      </c>
      <c r="AE40" s="19" t="s">
        <v>184</v>
      </c>
      <c r="AF40" s="19"/>
    </row>
    <row r="41" spans="1:34">
      <c r="A41" s="19">
        <v>35</v>
      </c>
      <c r="B41" s="19" t="s">
        <v>288</v>
      </c>
      <c r="C41" s="19" t="s">
        <v>327</v>
      </c>
      <c r="D41" s="19" t="str">
        <f>HYPERLINK("http://www.henontech.com/fieldsafety/harzard/harzard_show.php?rid=1470&amp;url=harzardrecs.php","大门底部滑轮销子断裂，操作工在关闭大门时，滑轮脱轨，大门倾倒，操作人员躲避不及时，双腿被大门正面砸中，造成小腿骨折，住院治疗两个月，休养半年。")</f>
        <v>大门底部滑轮销子断裂，操作工在关闭大门时，滑轮脱轨，大门倾倒，操作人员躲避不及时，双腿被大门正面砸中，造成小腿骨折，住院治疗两个月，休养半年。</v>
      </c>
      <c r="E41" s="19" t="s">
        <v>328</v>
      </c>
      <c r="F41" s="20" t="s">
        <v>42</v>
      </c>
      <c r="G41" s="21" t="s">
        <v>43</v>
      </c>
      <c r="H41" s="19" t="s">
        <v>44</v>
      </c>
      <c r="I41" s="19"/>
      <c r="J41" s="19" t="s">
        <v>46</v>
      </c>
      <c r="K41" s="19"/>
      <c r="L41" s="19"/>
      <c r="M41" s="19" t="s">
        <v>49</v>
      </c>
      <c r="N41" s="19" t="s">
        <v>329</v>
      </c>
      <c r="O41" s="19" t="s">
        <v>49</v>
      </c>
      <c r="P41" s="19" t="s">
        <v>51</v>
      </c>
      <c r="Q41" s="19" t="s">
        <v>140</v>
      </c>
      <c r="R41" s="19" t="s">
        <v>330</v>
      </c>
      <c r="S41" s="19"/>
      <c r="T41" s="19" t="s">
        <v>54</v>
      </c>
      <c r="U41" s="19" t="s">
        <v>55</v>
      </c>
      <c r="V41" s="19" t="s">
        <v>56</v>
      </c>
      <c r="W41" s="19" t="s">
        <v>57</v>
      </c>
      <c r="X41" s="19" t="s">
        <v>58</v>
      </c>
      <c r="Y41" s="19" t="s">
        <v>58</v>
      </c>
      <c r="Z41" s="19" t="s">
        <v>331</v>
      </c>
      <c r="AA41" s="19">
        <v>1</v>
      </c>
      <c r="AB41" s="19">
        <v>1</v>
      </c>
      <c r="AC41" s="19" t="s">
        <v>60</v>
      </c>
      <c r="AD41" s="19" t="s">
        <v>51</v>
      </c>
      <c r="AE41" s="19" t="s">
        <v>61</v>
      </c>
      <c r="AF41" s="19"/>
    </row>
    <row r="42" spans="1:34">
      <c r="A42" s="19">
        <v>36</v>
      </c>
      <c r="B42" s="19" t="s">
        <v>332</v>
      </c>
      <c r="C42" s="19" t="s">
        <v>91</v>
      </c>
      <c r="D42" s="19" t="str">
        <f>HYPERLINK("http://www.henontech.com/fieldsafety/harzard/harzard_show.php?rid=1471&amp;url=harzardrecs.php","操作工在排油后未及时将地沟盖板复位，操作工在巡检时一人腿部跌落地沟，造成腿部擦伤。")</f>
        <v>操作工在排油后未及时将地沟盖板复位，操作工在巡检时一人腿部跌落地沟，造成腿部擦伤。</v>
      </c>
      <c r="E42" s="19" t="s">
        <v>333</v>
      </c>
      <c r="F42" s="20" t="s">
        <v>42</v>
      </c>
      <c r="G42" s="22" t="s">
        <v>66</v>
      </c>
      <c r="H42" s="19" t="s">
        <v>44</v>
      </c>
      <c r="I42" s="19" t="s">
        <v>83</v>
      </c>
      <c r="J42" s="19" t="s">
        <v>334</v>
      </c>
      <c r="K42" s="19" t="s">
        <v>69</v>
      </c>
      <c r="L42" s="19" t="s">
        <v>48</v>
      </c>
      <c r="M42" s="19" t="s">
        <v>96</v>
      </c>
      <c r="N42" s="19" t="s">
        <v>335</v>
      </c>
      <c r="O42" s="19" t="s">
        <v>96</v>
      </c>
      <c r="P42" s="19" t="s">
        <v>180</v>
      </c>
      <c r="Q42" s="19" t="s">
        <v>303</v>
      </c>
      <c r="R42" s="19" t="s">
        <v>336</v>
      </c>
      <c r="S42" s="19"/>
      <c r="T42" s="19" t="s">
        <v>54</v>
      </c>
      <c r="U42" s="19" t="s">
        <v>75</v>
      </c>
      <c r="V42" s="19" t="s">
        <v>76</v>
      </c>
      <c r="W42" s="19" t="s">
        <v>77</v>
      </c>
      <c r="X42" s="19" t="s">
        <v>182</v>
      </c>
      <c r="Y42" s="19" t="s">
        <v>182</v>
      </c>
      <c r="Z42" s="19" t="s">
        <v>337</v>
      </c>
      <c r="AA42" s="19">
        <v>1</v>
      </c>
      <c r="AB42" s="19">
        <v>1</v>
      </c>
      <c r="AC42" s="19" t="s">
        <v>60</v>
      </c>
      <c r="AD42" s="19" t="s">
        <v>180</v>
      </c>
      <c r="AE42" s="19" t="s">
        <v>258</v>
      </c>
      <c r="AF42" s="19"/>
    </row>
    <row r="43" spans="1:34">
      <c r="A43" s="19">
        <v>37</v>
      </c>
      <c r="B43" s="19" t="s">
        <v>332</v>
      </c>
      <c r="C43" s="19" t="s">
        <v>186</v>
      </c>
      <c r="D43" s="19" t="str">
        <f>HYPERLINK("http://www.henontech.com/fieldsafety/harzard/harzard_show.php?rid=1476&amp;url=harzardrecs.php","碳化三楼料仓废弃电路管线盒，位置太低，操作工巡检到此处时，被划伤眼部")</f>
        <v>碳化三楼料仓废弃电路管线盒，位置太低，操作工巡检到此处时，被划伤眼部</v>
      </c>
      <c r="E43" s="19" t="s">
        <v>338</v>
      </c>
      <c r="F43" s="20" t="s">
        <v>42</v>
      </c>
      <c r="G43" s="21" t="s">
        <v>43</v>
      </c>
      <c r="H43" s="19" t="s">
        <v>44</v>
      </c>
      <c r="I43" s="19" t="s">
        <v>45</v>
      </c>
      <c r="J43" s="19" t="s">
        <v>46</v>
      </c>
      <c r="K43" s="19" t="s">
        <v>145</v>
      </c>
      <c r="L43" s="19" t="s">
        <v>48</v>
      </c>
      <c r="M43" s="19" t="s">
        <v>96</v>
      </c>
      <c r="N43" s="19" t="s">
        <v>339</v>
      </c>
      <c r="O43" s="19" t="s">
        <v>96</v>
      </c>
      <c r="P43" s="19" t="s">
        <v>340</v>
      </c>
      <c r="Q43" s="19" t="s">
        <v>341</v>
      </c>
      <c r="R43" s="19" t="s">
        <v>342</v>
      </c>
      <c r="S43" s="19"/>
      <c r="T43" s="19" t="s">
        <v>54</v>
      </c>
      <c r="U43" s="19" t="s">
        <v>55</v>
      </c>
      <c r="V43" s="19" t="s">
        <v>101</v>
      </c>
      <c r="W43" s="19" t="s">
        <v>138</v>
      </c>
      <c r="X43" s="19" t="s">
        <v>182</v>
      </c>
      <c r="Y43" s="19" t="s">
        <v>343</v>
      </c>
      <c r="Z43" s="19" t="s">
        <v>344</v>
      </c>
      <c r="AA43" s="19">
        <v>1</v>
      </c>
      <c r="AB43" s="19">
        <v>1</v>
      </c>
      <c r="AC43" s="19" t="s">
        <v>60</v>
      </c>
      <c r="AD43" s="19" t="s">
        <v>340</v>
      </c>
      <c r="AE43" s="19" t="s">
        <v>174</v>
      </c>
      <c r="AF43" s="19" t="s">
        <v>345</v>
      </c>
    </row>
    <row r="44" spans="1:34">
      <c r="A44" s="19">
        <v>38</v>
      </c>
      <c r="B44" s="19" t="s">
        <v>346</v>
      </c>
      <c r="C44" s="19" t="s">
        <v>347</v>
      </c>
      <c r="D44" s="19" t="str">
        <f>HYPERLINK("http://www.henontech.com/fieldsafety/harzard/harzard_show.php?rid=1478&amp;url=harzardrecs.php","精脱硫2#水分管线处有一石棉垫子，巡检工巡查时，石棉垫子掉落")</f>
        <v>精脱硫2#水分管线处有一石棉垫子，巡检工巡查时，石棉垫子掉落</v>
      </c>
      <c r="E44" s="19" t="s">
        <v>348</v>
      </c>
      <c r="F44" s="20" t="s">
        <v>42</v>
      </c>
      <c r="G44" s="21" t="s">
        <v>43</v>
      </c>
      <c r="H44" s="19" t="s">
        <v>44</v>
      </c>
      <c r="I44" s="19" t="s">
        <v>45</v>
      </c>
      <c r="J44" s="19" t="s">
        <v>68</v>
      </c>
      <c r="K44" s="19" t="s">
        <v>47</v>
      </c>
      <c r="L44" s="19" t="s">
        <v>48</v>
      </c>
      <c r="M44" s="19" t="s">
        <v>96</v>
      </c>
      <c r="N44" s="19" t="s">
        <v>349</v>
      </c>
      <c r="O44" s="19" t="s">
        <v>96</v>
      </c>
      <c r="P44" s="19" t="s">
        <v>97</v>
      </c>
      <c r="Q44" s="19" t="s">
        <v>341</v>
      </c>
      <c r="R44" s="19" t="s">
        <v>350</v>
      </c>
      <c r="S44" s="19"/>
      <c r="T44" s="19" t="s">
        <v>54</v>
      </c>
      <c r="U44" s="19" t="s">
        <v>55</v>
      </c>
      <c r="V44" s="19" t="s">
        <v>56</v>
      </c>
      <c r="W44" s="19" t="s">
        <v>57</v>
      </c>
      <c r="X44" s="19" t="s">
        <v>182</v>
      </c>
      <c r="Y44" s="19" t="s">
        <v>343</v>
      </c>
      <c r="Z44" s="19" t="s">
        <v>351</v>
      </c>
      <c r="AA44" s="19">
        <v>1</v>
      </c>
      <c r="AB44" s="19">
        <v>1</v>
      </c>
      <c r="AC44" s="19" t="s">
        <v>60</v>
      </c>
      <c r="AD44" s="19" t="s">
        <v>97</v>
      </c>
      <c r="AE44" s="19" t="s">
        <v>103</v>
      </c>
      <c r="AF44" s="19" t="s">
        <v>352</v>
      </c>
    </row>
    <row r="45" spans="1:34">
      <c r="A45" s="19">
        <v>39</v>
      </c>
      <c r="B45" s="19" t="s">
        <v>346</v>
      </c>
      <c r="C45" s="19" t="s">
        <v>353</v>
      </c>
      <c r="D45" s="19" t="str">
        <f>HYPERLINK("http://www.henontech.com/fieldsafety/harzard/harzard_show.php?rid=1479&amp;url=harzardrecs.php","氨水制备器西南角一线缆套管破裂脱落，易造成线缆胶皮老化电线裸露，当人员经过时造成触电")</f>
        <v>氨水制备器西南角一线缆套管破裂脱落，易造成线缆胶皮老化电线裸露，当人员经过时造成触电</v>
      </c>
      <c r="E45" s="19" t="s">
        <v>354</v>
      </c>
      <c r="F45" s="20" t="s">
        <v>42</v>
      </c>
      <c r="G45" s="21" t="s">
        <v>43</v>
      </c>
      <c r="H45" s="19" t="s">
        <v>44</v>
      </c>
      <c r="I45" s="19" t="s">
        <v>45</v>
      </c>
      <c r="J45" s="19" t="s">
        <v>202</v>
      </c>
      <c r="K45" s="19"/>
      <c r="L45" s="19"/>
      <c r="M45" s="19" t="s">
        <v>96</v>
      </c>
      <c r="N45" s="19" t="s">
        <v>355</v>
      </c>
      <c r="O45" s="19" t="s">
        <v>96</v>
      </c>
      <c r="P45" s="19" t="s">
        <v>340</v>
      </c>
      <c r="Q45" s="19" t="s">
        <v>341</v>
      </c>
      <c r="R45" s="19" t="s">
        <v>356</v>
      </c>
      <c r="S45" s="19"/>
      <c r="T45" s="19" t="s">
        <v>54</v>
      </c>
      <c r="U45" s="19" t="s">
        <v>55</v>
      </c>
      <c r="V45" s="19" t="s">
        <v>101</v>
      </c>
      <c r="W45" s="19" t="s">
        <v>138</v>
      </c>
      <c r="X45" s="19" t="s">
        <v>58</v>
      </c>
      <c r="Y45" s="19" t="s">
        <v>343</v>
      </c>
      <c r="Z45" s="19" t="s">
        <v>357</v>
      </c>
      <c r="AA45" s="19">
        <v>1</v>
      </c>
      <c r="AB45" s="19">
        <v>1</v>
      </c>
      <c r="AC45" s="19" t="s">
        <v>60</v>
      </c>
      <c r="AD45" s="19" t="s">
        <v>340</v>
      </c>
      <c r="AE45" s="19" t="s">
        <v>321</v>
      </c>
      <c r="AF45" s="19"/>
    </row>
    <row r="46" spans="1:34">
      <c r="A46" s="19">
        <v>40</v>
      </c>
      <c r="B46" s="19" t="s">
        <v>346</v>
      </c>
      <c r="C46" s="19" t="s">
        <v>358</v>
      </c>
      <c r="D46" s="19" t="str">
        <f>HYPERLINK("http://www.henontech.com/fieldsafety/harzard/harzard_show.php?rid=1481&amp;url=harzardrecs.php","COD大试管架底部断裂，试管放置不牢，相互碰撞，瓶身出现裂痕、破裂，瓶内少量液体漏出，腐蚀地面，及时采取应急措施处理，半小时后清理干净。")</f>
        <v>COD大试管架底部断裂，试管放置不牢，相互碰撞，瓶身出现裂痕、破裂，瓶内少量液体漏出，腐蚀地面，及时采取应急措施处理，半小时后清理干净。</v>
      </c>
      <c r="E46" s="19" t="s">
        <v>359</v>
      </c>
      <c r="F46" s="20" t="s">
        <v>42</v>
      </c>
      <c r="G46" s="21" t="s">
        <v>43</v>
      </c>
      <c r="H46" s="19" t="s">
        <v>44</v>
      </c>
      <c r="I46" s="19"/>
      <c r="J46" s="19" t="s">
        <v>334</v>
      </c>
      <c r="K46" s="19"/>
      <c r="L46" s="19"/>
      <c r="M46" s="19" t="s">
        <v>49</v>
      </c>
      <c r="N46" s="19" t="s">
        <v>360</v>
      </c>
      <c r="O46" s="19" t="s">
        <v>49</v>
      </c>
      <c r="P46" s="19" t="s">
        <v>51</v>
      </c>
      <c r="Q46" s="19" t="s">
        <v>140</v>
      </c>
      <c r="R46" s="19" t="s">
        <v>361</v>
      </c>
      <c r="S46" s="19"/>
      <c r="T46" s="19" t="s">
        <v>270</v>
      </c>
      <c r="U46" s="19" t="s">
        <v>192</v>
      </c>
      <c r="V46" s="19" t="s">
        <v>101</v>
      </c>
      <c r="W46" s="19" t="s">
        <v>77</v>
      </c>
      <c r="X46" s="19" t="s">
        <v>58</v>
      </c>
      <c r="Y46" s="19" t="s">
        <v>58</v>
      </c>
      <c r="Z46" s="19" t="s">
        <v>362</v>
      </c>
      <c r="AA46" s="19">
        <v>1</v>
      </c>
      <c r="AB46" s="19">
        <v>1</v>
      </c>
      <c r="AC46" s="19" t="s">
        <v>60</v>
      </c>
      <c r="AD46" s="19" t="s">
        <v>51</v>
      </c>
      <c r="AE46" s="19" t="s">
        <v>61</v>
      </c>
      <c r="AF46" s="19" t="s">
        <v>363</v>
      </c>
    </row>
    <row r="47" spans="1:34">
      <c r="A47" s="19">
        <v>41</v>
      </c>
      <c r="B47" s="19" t="s">
        <v>346</v>
      </c>
      <c r="C47" s="19" t="s">
        <v>364</v>
      </c>
      <c r="D47" s="19" t="str">
        <f>HYPERLINK("http://www.henontech.com/fieldsafety/harzard/harzard_show.php?rid=1485&amp;url=harzardrecs.php","转化小仓库爬梯护栏无警示标识，巡检人员巡检时不慎造成腿部磕伤。")</f>
        <v>转化小仓库爬梯护栏无警示标识，巡检人员巡检时不慎造成腿部磕伤。</v>
      </c>
      <c r="E47" s="19" t="s">
        <v>365</v>
      </c>
      <c r="F47" s="20" t="s">
        <v>42</v>
      </c>
      <c r="G47" s="22" t="s">
        <v>66</v>
      </c>
      <c r="H47" s="19" t="s">
        <v>44</v>
      </c>
      <c r="I47" s="19" t="s">
        <v>83</v>
      </c>
      <c r="J47" s="19" t="s">
        <v>68</v>
      </c>
      <c r="K47" s="19" t="s">
        <v>47</v>
      </c>
      <c r="L47" s="19" t="s">
        <v>48</v>
      </c>
      <c r="M47" s="19" t="s">
        <v>96</v>
      </c>
      <c r="N47" s="19" t="s">
        <v>366</v>
      </c>
      <c r="O47" s="19" t="s">
        <v>96</v>
      </c>
      <c r="P47" s="19" t="s">
        <v>180</v>
      </c>
      <c r="Q47" s="19" t="s">
        <v>341</v>
      </c>
      <c r="R47" s="19" t="s">
        <v>367</v>
      </c>
      <c r="S47" s="19"/>
      <c r="T47" s="19" t="s">
        <v>54</v>
      </c>
      <c r="U47" s="19" t="s">
        <v>192</v>
      </c>
      <c r="V47" s="19" t="s">
        <v>76</v>
      </c>
      <c r="W47" s="19" t="s">
        <v>77</v>
      </c>
      <c r="X47" s="19" t="s">
        <v>182</v>
      </c>
      <c r="Y47" s="19" t="s">
        <v>182</v>
      </c>
      <c r="Z47" s="19" t="s">
        <v>368</v>
      </c>
      <c r="AA47" s="19">
        <v>1</v>
      </c>
      <c r="AB47" s="19">
        <v>1</v>
      </c>
      <c r="AC47" s="19" t="s">
        <v>60</v>
      </c>
      <c r="AD47" s="19" t="s">
        <v>180</v>
      </c>
      <c r="AE47" s="19" t="s">
        <v>184</v>
      </c>
      <c r="AF47" s="19"/>
    </row>
    <row r="48" spans="1:34">
      <c r="A48" s="19">
        <v>42</v>
      </c>
      <c r="B48" s="19" t="s">
        <v>369</v>
      </c>
      <c r="C48" s="19" t="s">
        <v>128</v>
      </c>
      <c r="D48" s="19" t="str">
        <f>HYPERLINK("http://www.henontech.com/fieldsafety/harzard/harzard_show.php?rid=1486&amp;url=harzardrecs.php","BC池北侧电缆桥架缺失盖板，电缆线皮老化破损出现漏电，操作工巡检经过触电倒地")</f>
        <v>BC池北侧电缆桥架缺失盖板，电缆线皮老化破损出现漏电，操作工巡检经过触电倒地</v>
      </c>
      <c r="E48" s="19" t="s">
        <v>370</v>
      </c>
      <c r="F48" s="20" t="s">
        <v>42</v>
      </c>
      <c r="G48" s="21" t="s">
        <v>43</v>
      </c>
      <c r="H48" s="19" t="s">
        <v>44</v>
      </c>
      <c r="I48" s="19" t="s">
        <v>67</v>
      </c>
      <c r="J48" s="19" t="s">
        <v>68</v>
      </c>
      <c r="K48" s="19" t="s">
        <v>69</v>
      </c>
      <c r="L48" s="19" t="s">
        <v>48</v>
      </c>
      <c r="M48" s="19" t="s">
        <v>49</v>
      </c>
      <c r="N48" s="19" t="s">
        <v>130</v>
      </c>
      <c r="O48" s="19" t="s">
        <v>49</v>
      </c>
      <c r="P48" s="19" t="s">
        <v>51</v>
      </c>
      <c r="Q48" s="19" t="s">
        <v>140</v>
      </c>
      <c r="R48" s="19" t="s">
        <v>371</v>
      </c>
      <c r="S48" s="19"/>
      <c r="T48" s="19" t="s">
        <v>54</v>
      </c>
      <c r="U48" s="19" t="s">
        <v>55</v>
      </c>
      <c r="V48" s="19" t="s">
        <v>56</v>
      </c>
      <c r="W48" s="19" t="s">
        <v>57</v>
      </c>
      <c r="X48" s="19" t="s">
        <v>58</v>
      </c>
      <c r="Y48" s="19" t="s">
        <v>58</v>
      </c>
      <c r="Z48" s="19" t="s">
        <v>372</v>
      </c>
      <c r="AA48" s="19">
        <v>1</v>
      </c>
      <c r="AB48" s="19">
        <v>1</v>
      </c>
      <c r="AC48" s="19" t="s">
        <v>60</v>
      </c>
      <c r="AD48" s="19" t="s">
        <v>51</v>
      </c>
      <c r="AE48" s="19" t="s">
        <v>61</v>
      </c>
      <c r="AF48" s="19"/>
    </row>
    <row r="49" spans="1:34" customHeight="1" ht="42">
      <c r="A49" s="19">
        <v>43</v>
      </c>
      <c r="B49" s="19" t="s">
        <v>98</v>
      </c>
      <c r="C49" s="19" t="s">
        <v>373</v>
      </c>
      <c r="D49" s="19" t="str">
        <f>HYPERLINK("http://www.henontech.com/fieldsafety/harzard/harzard_show.php?rid=1491&amp;url=harzardrecs.php","巡检人员在清理卫生时，倒退至缝隙大的护栏处，不慎踩空从炉顶掉落地面，因头部先着地，送医院抢救无效死亡。")</f>
        <v>巡检人员在清理卫生时，倒退至缝隙大的护栏处，不慎踩空从炉顶掉落地面，因头部先着地，送医院抢救无效死亡。</v>
      </c>
      <c r="E49" s="19" t="s">
        <v>374</v>
      </c>
      <c r="F49" s="20" t="s">
        <v>42</v>
      </c>
      <c r="G49" s="21" t="s">
        <v>43</v>
      </c>
      <c r="H49" s="19" t="s">
        <v>44</v>
      </c>
      <c r="I49" s="19" t="s">
        <v>83</v>
      </c>
      <c r="J49" s="19" t="s">
        <v>46</v>
      </c>
      <c r="K49" s="19" t="s">
        <v>69</v>
      </c>
      <c r="L49" s="19" t="s">
        <v>375</v>
      </c>
      <c r="M49" s="19" t="s">
        <v>117</v>
      </c>
      <c r="N49" s="19" t="s">
        <v>376</v>
      </c>
      <c r="O49" s="19" t="s">
        <v>117</v>
      </c>
      <c r="P49" s="19" t="s">
        <v>224</v>
      </c>
      <c r="Q49" s="19" t="s">
        <v>377</v>
      </c>
      <c r="R49" s="19" t="s">
        <v>378</v>
      </c>
      <c r="S49" s="19"/>
      <c r="T49" s="19" t="s">
        <v>54</v>
      </c>
      <c r="U49" s="19" t="s">
        <v>121</v>
      </c>
      <c r="V49" s="19" t="s">
        <v>56</v>
      </c>
      <c r="W49" s="19" t="s">
        <v>122</v>
      </c>
      <c r="X49" s="19"/>
      <c r="Y49" s="19"/>
      <c r="Z49" s="19" t="s">
        <v>379</v>
      </c>
      <c r="AA49" s="19">
        <v>2</v>
      </c>
      <c r="AB49" s="19">
        <v>2</v>
      </c>
      <c r="AC49" s="19" t="s">
        <v>60</v>
      </c>
      <c r="AD49" s="19" t="s">
        <v>224</v>
      </c>
      <c r="AE49" s="19" t="s">
        <v>113</v>
      </c>
      <c r="AF49" s="19"/>
    </row>
    <row r="50" spans="1:34">
      <c r="A50" s="19">
        <v>44</v>
      </c>
      <c r="B50" s="19" t="s">
        <v>52</v>
      </c>
      <c r="C50" s="19" t="s">
        <v>380</v>
      </c>
      <c r="D50" s="19" t="str">
        <f>HYPERLINK("http://www.henontech.com/fieldsafety/harzard/harzard_show.php?rid=1493&amp;url=harzardrecs.php","西三输送带在运行过程中，不慎划伤。")</f>
        <v>西三输送带在运行过程中，不慎划伤。</v>
      </c>
      <c r="E50" s="19" t="s">
        <v>381</v>
      </c>
      <c r="F50" s="20" t="s">
        <v>42</v>
      </c>
      <c r="G50" s="21" t="s">
        <v>43</v>
      </c>
      <c r="H50" s="19" t="s">
        <v>44</v>
      </c>
      <c r="I50" s="19" t="s">
        <v>83</v>
      </c>
      <c r="J50" s="19" t="s">
        <v>46</v>
      </c>
      <c r="K50" s="19" t="s">
        <v>47</v>
      </c>
      <c r="L50" s="19" t="s">
        <v>48</v>
      </c>
      <c r="M50" s="19" t="s">
        <v>285</v>
      </c>
      <c r="N50" s="19" t="s">
        <v>286</v>
      </c>
      <c r="O50" s="19" t="s">
        <v>285</v>
      </c>
      <c r="P50" s="19" t="s">
        <v>287</v>
      </c>
      <c r="Q50" s="19" t="s">
        <v>228</v>
      </c>
      <c r="R50" s="19" t="s">
        <v>382</v>
      </c>
      <c r="S50" s="19"/>
      <c r="T50" s="19" t="s">
        <v>100</v>
      </c>
      <c r="U50" s="19" t="s">
        <v>192</v>
      </c>
      <c r="V50" s="19" t="s">
        <v>76</v>
      </c>
      <c r="W50" s="19" t="s">
        <v>77</v>
      </c>
      <c r="X50" s="19"/>
      <c r="Y50" s="19"/>
      <c r="Z50" s="19" t="s">
        <v>383</v>
      </c>
      <c r="AA50" s="19">
        <v>1</v>
      </c>
      <c r="AB50" s="19">
        <v>1</v>
      </c>
      <c r="AC50" s="19" t="s">
        <v>60</v>
      </c>
      <c r="AD50" s="19" t="s">
        <v>287</v>
      </c>
      <c r="AE50" s="19" t="s">
        <v>228</v>
      </c>
      <c r="AF50" s="19" t="s">
        <v>384</v>
      </c>
    </row>
    <row r="51" spans="1:34">
      <c r="A51" s="19">
        <v>45</v>
      </c>
      <c r="B51" s="19" t="s">
        <v>52</v>
      </c>
      <c r="C51" s="19" t="s">
        <v>385</v>
      </c>
      <c r="D51" s="19" t="str">
        <f>HYPERLINK("http://www.henontech.com/fieldsafety/harzard/harzard_show.php?rid=1494&amp;url=harzardrecs.php","氧气瓶未有效固定，防倾倒措施未插好销子。")</f>
        <v>氧气瓶未有效固定，防倾倒措施未插好销子。</v>
      </c>
      <c r="E51" s="19" t="s">
        <v>386</v>
      </c>
      <c r="F51" s="24" t="s">
        <v>387</v>
      </c>
      <c r="G51" s="21" t="s">
        <v>43</v>
      </c>
      <c r="H51" s="19" t="s">
        <v>44</v>
      </c>
      <c r="I51" s="19" t="s">
        <v>388</v>
      </c>
      <c r="J51" s="19" t="s">
        <v>68</v>
      </c>
      <c r="K51" s="19" t="s">
        <v>145</v>
      </c>
      <c r="L51" s="19" t="s">
        <v>48</v>
      </c>
      <c r="M51" s="19" t="s">
        <v>96</v>
      </c>
      <c r="N51" s="19" t="s">
        <v>389</v>
      </c>
      <c r="O51" s="19"/>
      <c r="P51" s="19"/>
      <c r="Q51" s="19"/>
      <c r="R51" s="19" t="s">
        <v>390</v>
      </c>
      <c r="S51" s="19" t="s">
        <v>391</v>
      </c>
      <c r="T51" s="19" t="s">
        <v>54</v>
      </c>
      <c r="U51" s="19" t="s">
        <v>75</v>
      </c>
      <c r="V51" s="19" t="s">
        <v>56</v>
      </c>
      <c r="W51" s="19" t="s">
        <v>138</v>
      </c>
      <c r="X51" s="19"/>
      <c r="Y51" s="19"/>
      <c r="Z51" s="19"/>
      <c r="AA51" s="19">
        <v>0</v>
      </c>
      <c r="AB51" s="19"/>
      <c r="AC51" s="19" t="s">
        <v>392</v>
      </c>
      <c r="AD51" s="19"/>
      <c r="AE51" s="19"/>
      <c r="AF51" s="19"/>
    </row>
    <row r="52" spans="1:34">
      <c r="A52" s="19">
        <v>46</v>
      </c>
      <c r="B52" s="19" t="s">
        <v>52</v>
      </c>
      <c r="C52" s="19" t="s">
        <v>393</v>
      </c>
      <c r="D52" s="19" t="str">
        <f>HYPERLINK("http://www.henontech.com/fieldsafety/harzard/harzard_show.php?rid=1495&amp;url=harzardrecs.php","MVR现场三楼平台一接线盒无防护盖，如果一操作工巡检时右肩不慎碰到裸露在外地接线头，造成右肩烧伤住院治疗一周在家休息两周，损工三周。")</f>
        <v>MVR现场三楼平台一接线盒无防护盖，如果一操作工巡检时右肩不慎碰到裸露在外地接线头，造成右肩烧伤住院治疗一周在家休息两周，损工三周。</v>
      </c>
      <c r="E52" s="19" t="s">
        <v>394</v>
      </c>
      <c r="F52" s="20" t="s">
        <v>42</v>
      </c>
      <c r="G52" s="21" t="s">
        <v>43</v>
      </c>
      <c r="H52" s="19" t="s">
        <v>44</v>
      </c>
      <c r="I52" s="19" t="s">
        <v>45</v>
      </c>
      <c r="J52" s="19" t="s">
        <v>202</v>
      </c>
      <c r="K52" s="19" t="s">
        <v>145</v>
      </c>
      <c r="L52" s="19" t="s">
        <v>280</v>
      </c>
      <c r="M52" s="19" t="s">
        <v>70</v>
      </c>
      <c r="N52" s="19" t="s">
        <v>395</v>
      </c>
      <c r="O52" s="19" t="s">
        <v>70</v>
      </c>
      <c r="P52" s="19" t="s">
        <v>72</v>
      </c>
      <c r="Q52" s="19" t="s">
        <v>377</v>
      </c>
      <c r="R52" s="19" t="s">
        <v>396</v>
      </c>
      <c r="S52" s="19" t="s">
        <v>397</v>
      </c>
      <c r="T52" s="19" t="s">
        <v>54</v>
      </c>
      <c r="U52" s="19" t="s">
        <v>75</v>
      </c>
      <c r="V52" s="19" t="s">
        <v>56</v>
      </c>
      <c r="W52" s="19" t="s">
        <v>138</v>
      </c>
      <c r="X52" s="19"/>
      <c r="Y52" s="19"/>
      <c r="Z52" s="19" t="s">
        <v>398</v>
      </c>
      <c r="AA52" s="19">
        <v>1</v>
      </c>
      <c r="AB52" s="19">
        <v>1</v>
      </c>
      <c r="AC52" s="19" t="s">
        <v>60</v>
      </c>
      <c r="AD52" s="19" t="s">
        <v>72</v>
      </c>
      <c r="AE52" s="19" t="s">
        <v>113</v>
      </c>
      <c r="AF52" s="19"/>
    </row>
    <row r="53" spans="1:34" customHeight="1" ht="42">
      <c r="A53" s="19">
        <v>47</v>
      </c>
      <c r="B53" s="19" t="s">
        <v>52</v>
      </c>
      <c r="C53" s="19" t="s">
        <v>399</v>
      </c>
      <c r="D53" s="19" t="str">
        <f>HYPERLINK("http://www.henontech.com/fieldsafety/harzard/harzard_show.php?rid=1496&amp;url=harzardrecs.php","4.3米脱硫脱硝配电室北墙距离地面约4米的电缆桥架上有众多泥石块，人员在下面经过时，若泥石块掉落，造成一人肩颈部砸伤")</f>
        <v>4.3米脱硫脱硝配电室北墙距离地面约4米的电缆桥架上有众多泥石块，人员在下面经过时，若泥石块掉落，造成一人肩颈部砸伤</v>
      </c>
      <c r="E53" s="19" t="s">
        <v>400</v>
      </c>
      <c r="F53" s="20" t="s">
        <v>42</v>
      </c>
      <c r="G53" s="21" t="s">
        <v>43</v>
      </c>
      <c r="H53" s="19" t="s">
        <v>44</v>
      </c>
      <c r="I53" s="19" t="s">
        <v>67</v>
      </c>
      <c r="J53" s="19" t="s">
        <v>401</v>
      </c>
      <c r="K53" s="19" t="s">
        <v>47</v>
      </c>
      <c r="L53" s="19" t="s">
        <v>48</v>
      </c>
      <c r="M53" s="19" t="s">
        <v>94</v>
      </c>
      <c r="N53" s="19" t="s">
        <v>402</v>
      </c>
      <c r="O53" s="19" t="s">
        <v>117</v>
      </c>
      <c r="P53" s="19" t="s">
        <v>118</v>
      </c>
      <c r="Q53" s="19" t="s">
        <v>403</v>
      </c>
      <c r="R53" s="19" t="s">
        <v>404</v>
      </c>
      <c r="S53" s="19"/>
      <c r="T53" s="19" t="s">
        <v>54</v>
      </c>
      <c r="U53" s="19" t="s">
        <v>55</v>
      </c>
      <c r="V53" s="19" t="s">
        <v>101</v>
      </c>
      <c r="W53" s="19" t="s">
        <v>138</v>
      </c>
      <c r="X53" s="19" t="s">
        <v>235</v>
      </c>
      <c r="Y53" s="19" t="s">
        <v>235</v>
      </c>
      <c r="Z53" s="19" t="s">
        <v>405</v>
      </c>
      <c r="AA53" s="19">
        <v>2</v>
      </c>
      <c r="AB53" s="19">
        <v>2</v>
      </c>
      <c r="AC53" s="19" t="s">
        <v>60</v>
      </c>
      <c r="AD53" s="19" t="s">
        <v>118</v>
      </c>
      <c r="AE53" s="19" t="s">
        <v>406</v>
      </c>
      <c r="AF53" s="19"/>
    </row>
    <row r="54" spans="1:34">
      <c r="A54" s="19">
        <v>48</v>
      </c>
      <c r="B54" s="19" t="s">
        <v>52</v>
      </c>
      <c r="C54" s="19" t="s">
        <v>407</v>
      </c>
      <c r="D54" s="19" t="str">
        <f>HYPERLINK("http://www.henontech.com/fieldsafety/harzard/harzard_show.php?rid=1498&amp;url=harzardrecs.php","东四西过道管架上有杂物，掉落砸伤过路行人")</f>
        <v>东四西过道管架上有杂物，掉落砸伤过路行人</v>
      </c>
      <c r="E54" s="19" t="s">
        <v>408</v>
      </c>
      <c r="F54" s="20" t="s">
        <v>42</v>
      </c>
      <c r="G54" s="23" t="s">
        <v>231</v>
      </c>
      <c r="H54" s="19" t="s">
        <v>44</v>
      </c>
      <c r="I54" s="19" t="s">
        <v>45</v>
      </c>
      <c r="J54" s="19"/>
      <c r="K54" s="19"/>
      <c r="L54" s="19"/>
      <c r="M54" s="19" t="s">
        <v>285</v>
      </c>
      <c r="N54" s="19" t="s">
        <v>409</v>
      </c>
      <c r="O54" s="19" t="s">
        <v>285</v>
      </c>
      <c r="P54" s="19" t="s">
        <v>410</v>
      </c>
      <c r="Q54" s="19" t="s">
        <v>377</v>
      </c>
      <c r="R54" s="19" t="s">
        <v>411</v>
      </c>
      <c r="S54" s="19"/>
      <c r="T54" s="19" t="s">
        <v>54</v>
      </c>
      <c r="U54" s="19" t="s">
        <v>75</v>
      </c>
      <c r="V54" s="19" t="s">
        <v>271</v>
      </c>
      <c r="W54" s="19" t="s">
        <v>57</v>
      </c>
      <c r="X54" s="19" t="s">
        <v>226</v>
      </c>
      <c r="Y54" s="19"/>
      <c r="Z54" s="19" t="s">
        <v>412</v>
      </c>
      <c r="AA54" s="19">
        <v>1</v>
      </c>
      <c r="AB54" s="19">
        <v>1</v>
      </c>
      <c r="AC54" s="19" t="s">
        <v>60</v>
      </c>
      <c r="AD54" s="19" t="s">
        <v>410</v>
      </c>
      <c r="AE54" s="19" t="s">
        <v>413</v>
      </c>
      <c r="AF54" s="19"/>
    </row>
    <row r="55" spans="1:34">
      <c r="A55" s="19">
        <v>49</v>
      </c>
      <c r="B55" s="19" t="s">
        <v>52</v>
      </c>
      <c r="C55" s="19" t="s">
        <v>380</v>
      </c>
      <c r="D55" s="19" t="str">
        <f>HYPERLINK("http://www.henontech.com/fieldsafety/harzard/harzard_show.php?rid=1499&amp;url=harzardrecs.php","航吊吊钩不在有效位置，在吊装在吊装设备时，造成设备脱落损伤")</f>
        <v>航吊吊钩不在有效位置，在吊装在吊装设备时，造成设备脱落损伤</v>
      </c>
      <c r="E55" s="19" t="s">
        <v>414</v>
      </c>
      <c r="F55" s="20" t="s">
        <v>42</v>
      </c>
      <c r="G55" s="23" t="s">
        <v>231</v>
      </c>
      <c r="H55" s="19" t="s">
        <v>44</v>
      </c>
      <c r="I55" s="19"/>
      <c r="J55" s="19" t="s">
        <v>46</v>
      </c>
      <c r="K55" s="19"/>
      <c r="L55" s="19"/>
      <c r="M55" s="19" t="s">
        <v>285</v>
      </c>
      <c r="N55" s="19" t="s">
        <v>415</v>
      </c>
      <c r="O55" s="19" t="s">
        <v>285</v>
      </c>
      <c r="P55" s="19" t="s">
        <v>410</v>
      </c>
      <c r="Q55" s="19" t="s">
        <v>377</v>
      </c>
      <c r="R55" s="19" t="s">
        <v>416</v>
      </c>
      <c r="S55" s="19"/>
      <c r="T55" s="19" t="s">
        <v>100</v>
      </c>
      <c r="U55" s="19" t="s">
        <v>192</v>
      </c>
      <c r="V55" s="19" t="s">
        <v>101</v>
      </c>
      <c r="W55" s="19" t="s">
        <v>77</v>
      </c>
      <c r="X55" s="19" t="s">
        <v>58</v>
      </c>
      <c r="Y55" s="19"/>
      <c r="Z55" s="19" t="s">
        <v>417</v>
      </c>
      <c r="AA55" s="19">
        <v>1</v>
      </c>
      <c r="AB55" s="19">
        <v>1</v>
      </c>
      <c r="AC55" s="19" t="s">
        <v>60</v>
      </c>
      <c r="AD55" s="19" t="s">
        <v>410</v>
      </c>
      <c r="AE55" s="19" t="s">
        <v>413</v>
      </c>
      <c r="AF55" s="19"/>
    </row>
    <row r="56" spans="1:34">
      <c r="A56" s="19">
        <v>50</v>
      </c>
      <c r="B56" s="19" t="s">
        <v>52</v>
      </c>
      <c r="C56" s="19" t="s">
        <v>407</v>
      </c>
      <c r="D56" s="19" t="str">
        <f>HYPERLINK("http://www.henontech.com/fieldsafety/harzard/harzard_show.php?rid=1500&amp;url=harzardrecs.php","东三岗位一建筑胎板悬在屋顶，一旦巡检人员经过，胎板掉落造成操作工胳膊轻微擦伤，到医务室进行紫药水消毒包扎后继续工作")</f>
        <v>东三岗位一建筑胎板悬在屋顶，一旦巡检人员经过，胎板掉落造成操作工胳膊轻微擦伤，到医务室进行紫药水消毒包扎后继续工作</v>
      </c>
      <c r="E56" s="19" t="s">
        <v>418</v>
      </c>
      <c r="F56" s="20" t="s">
        <v>42</v>
      </c>
      <c r="G56" s="22" t="s">
        <v>66</v>
      </c>
      <c r="H56" s="19" t="s">
        <v>44</v>
      </c>
      <c r="I56" s="19" t="s">
        <v>67</v>
      </c>
      <c r="J56" s="19" t="s">
        <v>334</v>
      </c>
      <c r="K56" s="19" t="s">
        <v>145</v>
      </c>
      <c r="L56" s="19" t="s">
        <v>48</v>
      </c>
      <c r="M56" s="19" t="s">
        <v>94</v>
      </c>
      <c r="N56" s="19" t="s">
        <v>135</v>
      </c>
      <c r="O56" s="19" t="s">
        <v>285</v>
      </c>
      <c r="P56" s="19" t="s">
        <v>419</v>
      </c>
      <c r="Q56" s="19" t="s">
        <v>420</v>
      </c>
      <c r="R56" s="19" t="s">
        <v>421</v>
      </c>
      <c r="S56" s="19"/>
      <c r="T56" s="19" t="s">
        <v>54</v>
      </c>
      <c r="U56" s="19" t="s">
        <v>75</v>
      </c>
      <c r="V56" s="19" t="s">
        <v>271</v>
      </c>
      <c r="W56" s="19" t="s">
        <v>57</v>
      </c>
      <c r="X56" s="19" t="s">
        <v>226</v>
      </c>
      <c r="Y56" s="19" t="s">
        <v>235</v>
      </c>
      <c r="Z56" s="19" t="s">
        <v>422</v>
      </c>
      <c r="AA56" s="19">
        <v>1</v>
      </c>
      <c r="AB56" s="19">
        <v>1</v>
      </c>
      <c r="AC56" s="19" t="s">
        <v>60</v>
      </c>
      <c r="AD56" s="19" t="s">
        <v>419</v>
      </c>
      <c r="AE56" s="19" t="s">
        <v>420</v>
      </c>
      <c r="AF56" s="19" t="s">
        <v>352</v>
      </c>
    </row>
    <row r="57" spans="1:34">
      <c r="A57" s="19">
        <v>51</v>
      </c>
      <c r="B57" s="19" t="s">
        <v>52</v>
      </c>
      <c r="C57" s="19" t="s">
        <v>423</v>
      </c>
      <c r="D57" s="19" t="str">
        <f>HYPERLINK("http://www.henontech.com/fieldsafety/harzard/harzard_show.php?rid=1501&amp;url=harzardrecs.php","南脱硫熔硫釜温度表上限温度表缺失上限警示标识，如果操作不当，温度超标，造成熔硫釜损坏")</f>
        <v>南脱硫熔硫釜温度表上限温度表缺失上限警示标识，如果操作不当，温度超标，造成熔硫釜损坏</v>
      </c>
      <c r="E57" s="19" t="s">
        <v>424</v>
      </c>
      <c r="F57" s="20" t="s">
        <v>42</v>
      </c>
      <c r="G57" s="21" t="s">
        <v>43</v>
      </c>
      <c r="H57" s="19" t="s">
        <v>44</v>
      </c>
      <c r="I57" s="19" t="s">
        <v>67</v>
      </c>
      <c r="J57" s="19" t="s">
        <v>46</v>
      </c>
      <c r="K57" s="19" t="s">
        <v>69</v>
      </c>
      <c r="L57" s="19" t="s">
        <v>48</v>
      </c>
      <c r="M57" s="19" t="s">
        <v>70</v>
      </c>
      <c r="N57" s="19" t="s">
        <v>425</v>
      </c>
      <c r="O57" s="19" t="s">
        <v>70</v>
      </c>
      <c r="P57" s="19" t="s">
        <v>72</v>
      </c>
      <c r="Q57" s="19" t="s">
        <v>377</v>
      </c>
      <c r="R57" s="19" t="s">
        <v>426</v>
      </c>
      <c r="S57" s="19"/>
      <c r="T57" s="19" t="s">
        <v>100</v>
      </c>
      <c r="U57" s="19" t="s">
        <v>192</v>
      </c>
      <c r="V57" s="19" t="s">
        <v>271</v>
      </c>
      <c r="W57" s="19" t="s">
        <v>77</v>
      </c>
      <c r="X57" s="19"/>
      <c r="Y57" s="19"/>
      <c r="Z57" s="19" t="s">
        <v>427</v>
      </c>
      <c r="AA57" s="19">
        <v>1</v>
      </c>
      <c r="AB57" s="19">
        <v>1</v>
      </c>
      <c r="AC57" s="19" t="s">
        <v>60</v>
      </c>
      <c r="AD57" s="19" t="s">
        <v>72</v>
      </c>
      <c r="AE57" s="19" t="s">
        <v>61</v>
      </c>
      <c r="AF57" s="19"/>
    </row>
    <row r="58" spans="1:34">
      <c r="A58" s="19">
        <v>52</v>
      </c>
      <c r="B58" s="19" t="s">
        <v>228</v>
      </c>
      <c r="C58" s="19" t="s">
        <v>423</v>
      </c>
      <c r="D58" s="19" t="str">
        <f>HYPERLINK("http://www.henontech.com/fieldsafety/harzard/harzard_show.php?rid=1503&amp;url=harzardrecs.php","南脱硫熔硫釜压力表上限警示标示缺失，如果操作不当，压力超标，造成熔硫釜损坏")</f>
        <v>南脱硫熔硫釜压力表上限警示标示缺失，如果操作不当，压力超标，造成熔硫釜损坏</v>
      </c>
      <c r="E58" s="19" t="s">
        <v>428</v>
      </c>
      <c r="F58" s="20" t="s">
        <v>42</v>
      </c>
      <c r="G58" s="21" t="s">
        <v>43</v>
      </c>
      <c r="H58" s="19" t="s">
        <v>44</v>
      </c>
      <c r="I58" s="19" t="s">
        <v>83</v>
      </c>
      <c r="J58" s="19" t="s">
        <v>46</v>
      </c>
      <c r="K58" s="19" t="s">
        <v>47</v>
      </c>
      <c r="L58" s="19" t="s">
        <v>48</v>
      </c>
      <c r="M58" s="19" t="s">
        <v>70</v>
      </c>
      <c r="N58" s="19" t="s">
        <v>429</v>
      </c>
      <c r="O58" s="19" t="s">
        <v>70</v>
      </c>
      <c r="P58" s="19" t="s">
        <v>72</v>
      </c>
      <c r="Q58" s="19" t="s">
        <v>403</v>
      </c>
      <c r="R58" s="19" t="s">
        <v>423</v>
      </c>
      <c r="S58" s="19"/>
      <c r="T58" s="19" t="s">
        <v>100</v>
      </c>
      <c r="U58" s="19" t="s">
        <v>192</v>
      </c>
      <c r="V58" s="19" t="s">
        <v>101</v>
      </c>
      <c r="W58" s="19" t="s">
        <v>77</v>
      </c>
      <c r="X58" s="19"/>
      <c r="Y58" s="19"/>
      <c r="Z58" s="19" t="s">
        <v>430</v>
      </c>
      <c r="AA58" s="19">
        <v>1</v>
      </c>
      <c r="AB58" s="19">
        <v>1</v>
      </c>
      <c r="AC58" s="19" t="s">
        <v>60</v>
      </c>
      <c r="AD58" s="19" t="s">
        <v>72</v>
      </c>
      <c r="AE58" s="19" t="s">
        <v>113</v>
      </c>
      <c r="AF58" s="19"/>
    </row>
    <row r="59" spans="1:34">
      <c r="A59" s="19">
        <v>53</v>
      </c>
      <c r="B59" s="19" t="s">
        <v>228</v>
      </c>
      <c r="C59" s="19" t="s">
        <v>115</v>
      </c>
      <c r="D59" s="19" t="str">
        <f>HYPERLINK("http://www.henontech.com/fieldsafety/harzard/harzard_show.php?rid=1504&amp;url=harzardrecs.php","新拦焦车平台下部踢档板缺失，平台上部有铁质工具，操作工不注意将工具踢到掉到下部，砸伤出炉人员，送医院救治")</f>
        <v>新拦焦车平台下部踢档板缺失，平台上部有铁质工具，操作工不注意将工具踢到掉到下部，砸伤出炉人员，送医院救治</v>
      </c>
      <c r="E59" s="19" t="s">
        <v>431</v>
      </c>
      <c r="F59" s="20" t="s">
        <v>42</v>
      </c>
      <c r="G59" s="21" t="s">
        <v>43</v>
      </c>
      <c r="H59" s="19" t="s">
        <v>44</v>
      </c>
      <c r="I59" s="19" t="s">
        <v>67</v>
      </c>
      <c r="J59" s="19" t="s">
        <v>46</v>
      </c>
      <c r="K59" s="19" t="s">
        <v>69</v>
      </c>
      <c r="L59" s="19" t="s">
        <v>48</v>
      </c>
      <c r="M59" s="19" t="s">
        <v>117</v>
      </c>
      <c r="N59" s="19" t="s">
        <v>432</v>
      </c>
      <c r="O59" s="19" t="s">
        <v>117</v>
      </c>
      <c r="P59" s="19" t="s">
        <v>224</v>
      </c>
      <c r="Q59" s="19" t="s">
        <v>403</v>
      </c>
      <c r="R59" s="19" t="s">
        <v>433</v>
      </c>
      <c r="S59" s="19"/>
      <c r="T59" s="19" t="s">
        <v>54</v>
      </c>
      <c r="U59" s="19" t="s">
        <v>55</v>
      </c>
      <c r="V59" s="19" t="s">
        <v>271</v>
      </c>
      <c r="W59" s="19" t="s">
        <v>122</v>
      </c>
      <c r="X59" s="19" t="s">
        <v>235</v>
      </c>
      <c r="Y59" s="19" t="s">
        <v>235</v>
      </c>
      <c r="Z59" s="19" t="s">
        <v>434</v>
      </c>
      <c r="AA59" s="19">
        <v>2</v>
      </c>
      <c r="AB59" s="19">
        <v>2</v>
      </c>
      <c r="AC59" s="19" t="s">
        <v>60</v>
      </c>
      <c r="AD59" s="19" t="s">
        <v>224</v>
      </c>
      <c r="AE59" s="19" t="s">
        <v>113</v>
      </c>
      <c r="AF59" s="19"/>
    </row>
    <row r="60" spans="1:34">
      <c r="A60" s="19"/>
      <c r="B60" s="19"/>
      <c r="C60" s="19"/>
      <c r="D60" s="19" t="str">
        <f>HYPERLINK("http://www.henontech.com/fieldsafety/harzard/harzard_show.php?rid=1504&amp;url=harzardrecs.php","新拦焦车平台下部踢档板缺失，操作工将平台铁板踢入干熄罐未及时取出，造成干熄焦旋迷卡住影响出焦")</f>
        <v>新拦焦车平台下部踢档板缺失，操作工将平台铁板踢入干熄罐未及时取出，造成干熄焦旋迷卡住影响出焦</v>
      </c>
      <c r="E60" s="19" t="s">
        <v>435</v>
      </c>
      <c r="F60" s="19"/>
      <c r="G60" s="19"/>
      <c r="H60" s="19"/>
      <c r="I60" s="19" t="s">
        <v>67</v>
      </c>
      <c r="J60" s="19" t="s">
        <v>46</v>
      </c>
      <c r="K60" s="19" t="s">
        <v>69</v>
      </c>
      <c r="L60" s="19" t="s">
        <v>48</v>
      </c>
      <c r="M60" s="19"/>
      <c r="N60" s="19"/>
      <c r="O60" s="19"/>
      <c r="P60" s="19"/>
      <c r="Q60" s="19"/>
      <c r="R60" s="19"/>
      <c r="S60" s="19"/>
      <c r="T60" s="19" t="s">
        <v>100</v>
      </c>
      <c r="U60" s="19" t="s">
        <v>192</v>
      </c>
      <c r="V60" s="19" t="s">
        <v>271</v>
      </c>
      <c r="W60" s="19" t="s">
        <v>77</v>
      </c>
      <c r="X60" s="19"/>
      <c r="Y60" s="19"/>
      <c r="Z60" s="19"/>
      <c r="AA60" s="19"/>
      <c r="AB60" s="19"/>
      <c r="AC60" s="19"/>
      <c r="AD60" s="19"/>
      <c r="AE60" s="19"/>
      <c r="AF60" s="19"/>
    </row>
    <row r="61" spans="1:34" customHeight="1" ht="42">
      <c r="A61" s="19">
        <v>54</v>
      </c>
      <c r="B61" s="19" t="s">
        <v>228</v>
      </c>
      <c r="C61" s="19" t="s">
        <v>164</v>
      </c>
      <c r="D61" s="19" t="str">
        <f>HYPERLINK("http://www.henontech.com/fieldsafety/harzard/harzard_show.php?rid=1505&amp;url=harzardrecs.php","一名工人在5.5米焦炉北侧用悬臂吊进行吊装作业时，下面的监护人员无故离岗，一名路过的工人没有看到上面正在进行吊装作业，由于钢丝绳断裂，该工人被掉落的吊装物砸伤")</f>
        <v>一名工人在5.5米焦炉北侧用悬臂吊进行吊装作业时，下面的监护人员无故离岗，一名路过的工人没有看到上面正在进行吊装作业，由于钢丝绳断裂，该工人被掉落的吊装物砸伤</v>
      </c>
      <c r="E61" s="19" t="s">
        <v>436</v>
      </c>
      <c r="F61" s="20" t="s">
        <v>42</v>
      </c>
      <c r="G61" s="21" t="s">
        <v>43</v>
      </c>
      <c r="H61" s="19" t="s">
        <v>44</v>
      </c>
      <c r="I61" s="19" t="s">
        <v>437</v>
      </c>
      <c r="J61" s="19" t="s">
        <v>46</v>
      </c>
      <c r="K61" s="19" t="s">
        <v>47</v>
      </c>
      <c r="L61" s="19" t="s">
        <v>48</v>
      </c>
      <c r="M61" s="19" t="s">
        <v>117</v>
      </c>
      <c r="N61" s="19" t="s">
        <v>438</v>
      </c>
      <c r="O61" s="19" t="s">
        <v>117</v>
      </c>
      <c r="P61" s="19" t="s">
        <v>169</v>
      </c>
      <c r="Q61" s="19" t="s">
        <v>439</v>
      </c>
      <c r="R61" s="19" t="s">
        <v>440</v>
      </c>
      <c r="S61" s="19"/>
      <c r="T61" s="19" t="s">
        <v>54</v>
      </c>
      <c r="U61" s="19" t="s">
        <v>121</v>
      </c>
      <c r="V61" s="19" t="s">
        <v>56</v>
      </c>
      <c r="W61" s="19" t="s">
        <v>122</v>
      </c>
      <c r="X61" s="19" t="s">
        <v>123</v>
      </c>
      <c r="Y61" s="19"/>
      <c r="Z61" s="19" t="s">
        <v>441</v>
      </c>
      <c r="AA61" s="19">
        <v>2</v>
      </c>
      <c r="AB61" s="19">
        <v>2</v>
      </c>
      <c r="AC61" s="19" t="s">
        <v>60</v>
      </c>
      <c r="AD61" s="19" t="s">
        <v>169</v>
      </c>
      <c r="AE61" s="19" t="s">
        <v>190</v>
      </c>
      <c r="AF61" s="19"/>
    </row>
    <row r="62" spans="1:34">
      <c r="A62" s="19">
        <v>55</v>
      </c>
      <c r="B62" s="19" t="s">
        <v>228</v>
      </c>
      <c r="C62" s="19" t="s">
        <v>442</v>
      </c>
      <c r="D62" s="19" t="str">
        <f>HYPERLINK("http://www.henontech.com/fieldsafety/harzard/harzard_show.php?rid=1506&amp;url=harzardrecs.php","蒸铵塔再沸器管道堵，检修作业，维修人员未配带安全带不慎踩空滑落，腿部不慎损伤，及时医院治疗，休息三天正常工作。")</f>
        <v>蒸铵塔再沸器管道堵，检修作业，维修人员未配带安全带不慎踩空滑落，腿部不慎损伤，及时医院治疗，休息三天正常工作。</v>
      </c>
      <c r="E62" s="19" t="s">
        <v>443</v>
      </c>
      <c r="F62" s="20" t="s">
        <v>42</v>
      </c>
      <c r="G62" s="21" t="s">
        <v>43</v>
      </c>
      <c r="H62" s="19" t="s">
        <v>44</v>
      </c>
      <c r="I62" s="19" t="s">
        <v>67</v>
      </c>
      <c r="J62" s="19" t="s">
        <v>68</v>
      </c>
      <c r="K62" s="19" t="s">
        <v>166</v>
      </c>
      <c r="L62" s="19"/>
      <c r="M62" s="19" t="s">
        <v>70</v>
      </c>
      <c r="N62" s="19" t="s">
        <v>444</v>
      </c>
      <c r="O62" s="19" t="s">
        <v>70</v>
      </c>
      <c r="P62" s="19" t="s">
        <v>72</v>
      </c>
      <c r="Q62" s="19" t="s">
        <v>403</v>
      </c>
      <c r="R62" s="19" t="s">
        <v>445</v>
      </c>
      <c r="S62" s="19" t="s">
        <v>446</v>
      </c>
      <c r="T62" s="19" t="s">
        <v>54</v>
      </c>
      <c r="U62" s="19" t="s">
        <v>75</v>
      </c>
      <c r="V62" s="19" t="s">
        <v>101</v>
      </c>
      <c r="W62" s="19" t="s">
        <v>77</v>
      </c>
      <c r="X62" s="19"/>
      <c r="Y62" s="19"/>
      <c r="Z62" s="19" t="s">
        <v>447</v>
      </c>
      <c r="AA62" s="19">
        <v>1</v>
      </c>
      <c r="AB62" s="19">
        <v>0</v>
      </c>
      <c r="AC62" s="19" t="s">
        <v>60</v>
      </c>
      <c r="AD62" s="19" t="s">
        <v>72</v>
      </c>
      <c r="AE62" s="19" t="s">
        <v>448</v>
      </c>
      <c r="AF62" s="19"/>
    </row>
    <row r="63" spans="1:34" customHeight="1" ht="42">
      <c r="A63" s="19">
        <v>56</v>
      </c>
      <c r="B63" s="19" t="s">
        <v>228</v>
      </c>
      <c r="C63" s="19" t="s">
        <v>449</v>
      </c>
      <c r="D63" s="19" t="str">
        <f>HYPERLINK("http://www.henontech.com/fieldsafety/harzard/harzard_show.php?rid=1507&amp;url=harzardrecs.php","外协施工人员在距地面高6米，一侧护栏缺失的平台上安装除尘设备时，未按规范使用安全带，如发生失足坠落，人员会导致重伤甚至死亡。")</f>
        <v>外协施工人员在距地面高6米，一侧护栏缺失的平台上安装除尘设备时，未按规范使用安全带，如发生失足坠落，人员会导致重伤甚至死亡。</v>
      </c>
      <c r="E63" s="19" t="s">
        <v>450</v>
      </c>
      <c r="F63" s="20" t="s">
        <v>42</v>
      </c>
      <c r="G63" s="23" t="s">
        <v>231</v>
      </c>
      <c r="H63" s="19" t="s">
        <v>44</v>
      </c>
      <c r="I63" s="19" t="s">
        <v>83</v>
      </c>
      <c r="J63" s="19" t="s">
        <v>68</v>
      </c>
      <c r="K63" s="19" t="s">
        <v>69</v>
      </c>
      <c r="L63" s="19" t="s">
        <v>48</v>
      </c>
      <c r="M63" s="19" t="s">
        <v>117</v>
      </c>
      <c r="N63" s="19" t="s">
        <v>169</v>
      </c>
      <c r="O63" s="19" t="s">
        <v>117</v>
      </c>
      <c r="P63" s="19" t="s">
        <v>169</v>
      </c>
      <c r="Q63" s="19" t="s">
        <v>439</v>
      </c>
      <c r="R63" s="19" t="s">
        <v>451</v>
      </c>
      <c r="S63" s="19"/>
      <c r="T63" s="19" t="s">
        <v>54</v>
      </c>
      <c r="U63" s="19" t="s">
        <v>121</v>
      </c>
      <c r="V63" s="19" t="s">
        <v>56</v>
      </c>
      <c r="W63" s="19" t="s">
        <v>122</v>
      </c>
      <c r="X63" s="19" t="s">
        <v>123</v>
      </c>
      <c r="Y63" s="19"/>
      <c r="Z63" s="19" t="s">
        <v>452</v>
      </c>
      <c r="AA63" s="19">
        <v>2</v>
      </c>
      <c r="AB63" s="19">
        <v>2</v>
      </c>
      <c r="AC63" s="19" t="s">
        <v>60</v>
      </c>
      <c r="AD63" s="19" t="s">
        <v>169</v>
      </c>
      <c r="AE63" s="19" t="s">
        <v>228</v>
      </c>
      <c r="AF63" s="19"/>
    </row>
    <row r="64" spans="1:34">
      <c r="A64" s="19">
        <v>57</v>
      </c>
      <c r="B64" s="19" t="s">
        <v>413</v>
      </c>
      <c r="C64" s="19" t="s">
        <v>70</v>
      </c>
      <c r="D64" s="19" t="str">
        <f>HYPERLINK("http://www.henontech.com/fieldsafety/harzard/harzard_show.php?rid=1510&amp;url=harzardrecs.php","一名职工夜班在脱硫硫磺室内放硫磺的过程中，由于灯光亮度不够造成硫磺液进去硫磺盒的过程中硫磺液外溢，造成职工脚部轻微烫伤，经医务室简单处理后继续上班")</f>
        <v>一名职工夜班在脱硫硫磺室内放硫磺的过程中，由于灯光亮度不够造成硫磺液进去硫磺盒的过程中硫磺液外溢，造成职工脚部轻微烫伤，经医务室简单处理后继续上班</v>
      </c>
      <c r="E64" s="19" t="s">
        <v>453</v>
      </c>
      <c r="F64" s="20" t="s">
        <v>42</v>
      </c>
      <c r="G64" s="21" t="s">
        <v>43</v>
      </c>
      <c r="H64" s="19" t="s">
        <v>44</v>
      </c>
      <c r="I64" s="19" t="s">
        <v>45</v>
      </c>
      <c r="J64" s="19" t="s">
        <v>46</v>
      </c>
      <c r="K64" s="19" t="s">
        <v>145</v>
      </c>
      <c r="L64" s="19" t="s">
        <v>48</v>
      </c>
      <c r="M64" s="19" t="s">
        <v>70</v>
      </c>
      <c r="N64" s="19" t="s">
        <v>454</v>
      </c>
      <c r="O64" s="19" t="s">
        <v>70</v>
      </c>
      <c r="P64" s="19" t="s">
        <v>72</v>
      </c>
      <c r="Q64" s="19" t="s">
        <v>455</v>
      </c>
      <c r="R64" s="19" t="s">
        <v>423</v>
      </c>
      <c r="S64" s="19"/>
      <c r="T64" s="19" t="s">
        <v>54</v>
      </c>
      <c r="U64" s="19" t="s">
        <v>75</v>
      </c>
      <c r="V64" s="19" t="s">
        <v>101</v>
      </c>
      <c r="W64" s="19" t="s">
        <v>77</v>
      </c>
      <c r="X64" s="19"/>
      <c r="Y64" s="19"/>
      <c r="Z64" s="19" t="s">
        <v>456</v>
      </c>
      <c r="AA64" s="19">
        <v>1</v>
      </c>
      <c r="AB64" s="19">
        <v>1</v>
      </c>
      <c r="AC64" s="19" t="s">
        <v>60</v>
      </c>
      <c r="AD64" s="19" t="s">
        <v>72</v>
      </c>
      <c r="AE64" s="19" t="s">
        <v>457</v>
      </c>
      <c r="AF64" s="19"/>
    </row>
    <row r="65" spans="1:34" customHeight="1" ht="42">
      <c r="A65" s="19">
        <v>58</v>
      </c>
      <c r="B65" s="19" t="s">
        <v>413</v>
      </c>
      <c r="C65" s="19" t="s">
        <v>458</v>
      </c>
      <c r="D65" s="19" t="str">
        <f>HYPERLINK("http://www.henontech.com/fieldsafety/harzard/harzard_show.php?rid=1512&amp;url=harzardrecs.php","一名维修人员在加酸阀门处更换法兰垫时，假如未戴防酸手套，硫酸滴在手套上就会造成渗入，从而造成手部皮肤灼伤，附近有清洗设备立即清洗后手部无碍。")</f>
        <v>一名维修人员在加酸阀门处更换法兰垫时，假如未戴防酸手套，硫酸滴在手套上就会造成渗入，从而造成手部皮肤灼伤，附近有清洗设备立即清洗后手部无碍。</v>
      </c>
      <c r="E65" s="19" t="s">
        <v>459</v>
      </c>
      <c r="F65" s="20" t="s">
        <v>42</v>
      </c>
      <c r="G65" s="21" t="s">
        <v>43</v>
      </c>
      <c r="H65" s="19" t="s">
        <v>44</v>
      </c>
      <c r="I65" s="19" t="s">
        <v>45</v>
      </c>
      <c r="J65" s="19" t="s">
        <v>68</v>
      </c>
      <c r="K65" s="19"/>
      <c r="L65" s="19"/>
      <c r="M65" s="19" t="s">
        <v>70</v>
      </c>
      <c r="N65" s="19" t="s">
        <v>108</v>
      </c>
      <c r="O65" s="19" t="s">
        <v>70</v>
      </c>
      <c r="P65" s="19" t="s">
        <v>72</v>
      </c>
      <c r="Q65" s="19" t="s">
        <v>455</v>
      </c>
      <c r="R65" s="19" t="s">
        <v>460</v>
      </c>
      <c r="S65" s="19"/>
      <c r="T65" s="19" t="s">
        <v>54</v>
      </c>
      <c r="U65" s="19" t="s">
        <v>192</v>
      </c>
      <c r="V65" s="19" t="s">
        <v>101</v>
      </c>
      <c r="W65" s="19" t="s">
        <v>77</v>
      </c>
      <c r="X65" s="19"/>
      <c r="Y65" s="19"/>
      <c r="Z65" s="19" t="s">
        <v>461</v>
      </c>
      <c r="AA65" s="19">
        <v>2</v>
      </c>
      <c r="AB65" s="19">
        <v>2</v>
      </c>
      <c r="AC65" s="19" t="s">
        <v>60</v>
      </c>
      <c r="AD65" s="19" t="s">
        <v>72</v>
      </c>
      <c r="AE65" s="19" t="s">
        <v>462</v>
      </c>
      <c r="AF65" s="19"/>
    </row>
    <row r="66" spans="1:34" customHeight="1" ht="42">
      <c r="A66" s="19">
        <v>59</v>
      </c>
      <c r="B66" s="19" t="s">
        <v>313</v>
      </c>
      <c r="C66" s="19" t="s">
        <v>463</v>
      </c>
      <c r="D66" s="19" t="str">
        <f>HYPERLINK("http://www.henontech.com/fieldsafety/harzard/harzard_show.php?rid=1513&amp;url=harzardrecs.php","筛焦楼操作工清理完焦四机头卫生返回岗位时，由于爬梯灯光昏暗，不慎踩空，从7米高的爬梯摔落，摔伤头部")</f>
        <v>筛焦楼操作工清理完焦四机头卫生返回岗位时，由于爬梯灯光昏暗，不慎踩空，从7米高的爬梯摔落，摔伤头部</v>
      </c>
      <c r="E66" s="19" t="s">
        <v>464</v>
      </c>
      <c r="F66" s="20" t="s">
        <v>42</v>
      </c>
      <c r="G66" s="22" t="s">
        <v>66</v>
      </c>
      <c r="H66" s="19" t="s">
        <v>44</v>
      </c>
      <c r="I66" s="19" t="s">
        <v>83</v>
      </c>
      <c r="J66" s="19" t="s">
        <v>46</v>
      </c>
      <c r="K66" s="19" t="s">
        <v>145</v>
      </c>
      <c r="L66" s="19" t="s">
        <v>48</v>
      </c>
      <c r="M66" s="19" t="s">
        <v>117</v>
      </c>
      <c r="N66" s="19" t="s">
        <v>465</v>
      </c>
      <c r="O66" s="19" t="s">
        <v>117</v>
      </c>
      <c r="P66" s="19" t="s">
        <v>169</v>
      </c>
      <c r="Q66" s="19" t="s">
        <v>455</v>
      </c>
      <c r="R66" s="19" t="s">
        <v>171</v>
      </c>
      <c r="S66" s="19"/>
      <c r="T66" s="19" t="s">
        <v>54</v>
      </c>
      <c r="U66" s="19" t="s">
        <v>121</v>
      </c>
      <c r="V66" s="19" t="s">
        <v>56</v>
      </c>
      <c r="W66" s="19" t="s">
        <v>122</v>
      </c>
      <c r="X66" s="19" t="s">
        <v>172</v>
      </c>
      <c r="Y66" s="19"/>
      <c r="Z66" s="19" t="s">
        <v>466</v>
      </c>
      <c r="AA66" s="19">
        <v>2</v>
      </c>
      <c r="AB66" s="19">
        <v>2</v>
      </c>
      <c r="AC66" s="19" t="s">
        <v>60</v>
      </c>
      <c r="AD66" s="19" t="s">
        <v>169</v>
      </c>
      <c r="AE66" s="19" t="s">
        <v>241</v>
      </c>
      <c r="AF66" s="19"/>
    </row>
    <row r="67" spans="1:34">
      <c r="A67" s="19">
        <v>60</v>
      </c>
      <c r="B67" s="19" t="s">
        <v>313</v>
      </c>
      <c r="C67" s="19" t="s">
        <v>151</v>
      </c>
      <c r="D67" s="19" t="str">
        <f>HYPERLINK("http://www.henontech.com/fieldsafety/harzard/harzard_show.php?rid=1514&amp;url=harzardrecs.php","东硫铵满流槽中加酸管道，因长时间使用腐蚀泄露，一名操作工巡检时，可能被喷溅出来的硫酸灼伤腿部，烧伤等级二级，住院治疗一个月，损工一个月。")</f>
        <v>东硫铵满流槽中加酸管道，因长时间使用腐蚀泄露，一名操作工巡检时，可能被喷溅出来的硫酸灼伤腿部，烧伤等级二级，住院治疗一个月，损工一个月。</v>
      </c>
      <c r="E67" s="19" t="s">
        <v>467</v>
      </c>
      <c r="F67" s="24" t="s">
        <v>387</v>
      </c>
      <c r="G67" s="21" t="s">
        <v>43</v>
      </c>
      <c r="H67" s="19" t="s">
        <v>44</v>
      </c>
      <c r="I67" s="19" t="s">
        <v>45</v>
      </c>
      <c r="J67" s="19" t="s">
        <v>46</v>
      </c>
      <c r="K67" s="19" t="s">
        <v>47</v>
      </c>
      <c r="L67" s="19" t="s">
        <v>48</v>
      </c>
      <c r="M67" s="19" t="s">
        <v>70</v>
      </c>
      <c r="N67" s="19" t="s">
        <v>468</v>
      </c>
      <c r="O67" s="19"/>
      <c r="P67" s="19"/>
      <c r="Q67" s="19"/>
      <c r="R67" s="19" t="s">
        <v>469</v>
      </c>
      <c r="S67" s="19" t="s">
        <v>470</v>
      </c>
      <c r="T67" s="19" t="s">
        <v>54</v>
      </c>
      <c r="U67" s="19" t="s">
        <v>75</v>
      </c>
      <c r="V67" s="19" t="s">
        <v>56</v>
      </c>
      <c r="W67" s="19" t="s">
        <v>138</v>
      </c>
      <c r="X67" s="19"/>
      <c r="Y67" s="19"/>
      <c r="Z67" s="19"/>
      <c r="AA67" s="19">
        <v>0</v>
      </c>
      <c r="AB67" s="19"/>
      <c r="AC67" s="19" t="s">
        <v>392</v>
      </c>
      <c r="AD67" s="19"/>
      <c r="AE67" s="19"/>
      <c r="AF67" s="19"/>
    </row>
    <row r="68" spans="1:34">
      <c r="A68" s="19">
        <v>61</v>
      </c>
      <c r="B68" s="19" t="s">
        <v>313</v>
      </c>
      <c r="C68" s="19" t="s">
        <v>471</v>
      </c>
      <c r="D68" s="19" t="str">
        <f>HYPERLINK("http://www.henontech.com/fieldsafety/harzard/harzard_show.php?rid=1515&amp;url=harzardrecs.php","澡堂西路口框架上警示灯坏")</f>
        <v>澡堂西路口框架上警示灯坏</v>
      </c>
      <c r="E68" s="19" t="s">
        <v>472</v>
      </c>
      <c r="F68" s="24" t="s">
        <v>387</v>
      </c>
      <c r="G68" s="21" t="s">
        <v>43</v>
      </c>
      <c r="H68" s="19" t="s">
        <v>44</v>
      </c>
      <c r="I68" s="19"/>
      <c r="J68" s="19" t="s">
        <v>46</v>
      </c>
      <c r="K68" s="19"/>
      <c r="L68" s="19"/>
      <c r="M68" s="19" t="s">
        <v>70</v>
      </c>
      <c r="N68" s="19" t="s">
        <v>473</v>
      </c>
      <c r="O68" s="19"/>
      <c r="P68" s="19"/>
      <c r="Q68" s="19"/>
      <c r="R68" s="19" t="s">
        <v>474</v>
      </c>
      <c r="S68" s="19" t="s">
        <v>475</v>
      </c>
      <c r="T68" s="19" t="s">
        <v>100</v>
      </c>
      <c r="U68" s="19" t="s">
        <v>75</v>
      </c>
      <c r="V68" s="19" t="s">
        <v>76</v>
      </c>
      <c r="W68" s="19" t="s">
        <v>77</v>
      </c>
      <c r="X68" s="19"/>
      <c r="Y68" s="19"/>
      <c r="Z68" s="19"/>
      <c r="AA68" s="19">
        <v>0</v>
      </c>
      <c r="AB68" s="19"/>
      <c r="AC68" s="19" t="s">
        <v>392</v>
      </c>
      <c r="AD68" s="19"/>
      <c r="AE68" s="19"/>
      <c r="AF68" s="19"/>
    </row>
    <row r="69" spans="1:34">
      <c r="A69" s="19">
        <v>62</v>
      </c>
      <c r="B69" s="19" t="s">
        <v>313</v>
      </c>
      <c r="C69" s="19" t="s">
        <v>442</v>
      </c>
      <c r="D69" s="19" t="str">
        <f>HYPERLINK("http://www.henontech.com/fieldsafety/harzard/harzard_show.php?rid=1516&amp;url=harzardrecs.php","一名维修工在南脱硫2#脱硫塔煤气进口处紧固螺栓，现场脚手架踏板两头未固定，如果作业人员不小心踩到踏板一头，造成踏板倾斜，作业人员虽己按规范糸好安全带，也会发生人员坠落碰到下方脚手架造成腿部挫伤，休息五")</f>
        <v>一名维修工在南脱硫2#脱硫塔煤气进口处紧固螺栓，现场脚手架踏板两头未固定，如果作业人员不小心踩到踏板一头，造成踏板倾斜，作业人员虽己按规范糸好安全带，也会发生人员坠落碰到下方脚手架造成腿部挫伤，休息五</v>
      </c>
      <c r="E69" s="19" t="s">
        <v>476</v>
      </c>
      <c r="F69" s="20" t="s">
        <v>42</v>
      </c>
      <c r="G69" s="21" t="s">
        <v>43</v>
      </c>
      <c r="H69" s="19" t="s">
        <v>44</v>
      </c>
      <c r="I69" s="19" t="s">
        <v>45</v>
      </c>
      <c r="J69" s="19" t="s">
        <v>46</v>
      </c>
      <c r="K69" s="19" t="s">
        <v>166</v>
      </c>
      <c r="L69" s="19" t="s">
        <v>48</v>
      </c>
      <c r="M69" s="19" t="s">
        <v>70</v>
      </c>
      <c r="N69" s="19" t="s">
        <v>477</v>
      </c>
      <c r="O69" s="19" t="s">
        <v>70</v>
      </c>
      <c r="P69" s="19" t="s">
        <v>72</v>
      </c>
      <c r="Q69" s="19" t="s">
        <v>478</v>
      </c>
      <c r="R69" s="19" t="s">
        <v>479</v>
      </c>
      <c r="S69" s="19"/>
      <c r="T69" s="19" t="s">
        <v>54</v>
      </c>
      <c r="U69" s="19" t="s">
        <v>55</v>
      </c>
      <c r="V69" s="19" t="s">
        <v>56</v>
      </c>
      <c r="W69" s="19" t="s">
        <v>57</v>
      </c>
      <c r="X69" s="19"/>
      <c r="Y69" s="19"/>
      <c r="Z69" s="19" t="s">
        <v>480</v>
      </c>
      <c r="AA69" s="19">
        <v>1</v>
      </c>
      <c r="AB69" s="19">
        <v>1</v>
      </c>
      <c r="AC69" s="19" t="s">
        <v>60</v>
      </c>
      <c r="AD69" s="19" t="s">
        <v>72</v>
      </c>
      <c r="AE69" s="19" t="s">
        <v>403</v>
      </c>
      <c r="AF69" s="19"/>
    </row>
    <row r="70" spans="1:34" customHeight="1" ht="42">
      <c r="A70" s="19">
        <v>63</v>
      </c>
      <c r="B70" s="19" t="s">
        <v>481</v>
      </c>
      <c r="C70" s="19" t="s">
        <v>482</v>
      </c>
      <c r="D70" s="19" t="str">
        <f>HYPERLINK("http://www.henontech.com/fieldsafety/harzard/harzard_show.php?rid=1517&amp;url=harzardrecs.php","5.5米焦炉炉顶南头东侧护栏根部多处开焊，一员工靠近护栏时，不慎从7米高的炉顶面摔落到拦焦平台，摔伤头部，送医抢救")</f>
        <v>5.5米焦炉炉顶南头东侧护栏根部多处开焊，一员工靠近护栏时，不慎从7米高的炉顶面摔落到拦焦平台，摔伤头部，送医抢救</v>
      </c>
      <c r="E70" s="19" t="s">
        <v>483</v>
      </c>
      <c r="F70" s="20" t="s">
        <v>42</v>
      </c>
      <c r="G70" s="21" t="s">
        <v>43</v>
      </c>
      <c r="H70" s="19" t="s">
        <v>44</v>
      </c>
      <c r="I70" s="19" t="s">
        <v>83</v>
      </c>
      <c r="J70" s="19" t="s">
        <v>68</v>
      </c>
      <c r="K70" s="19" t="s">
        <v>47</v>
      </c>
      <c r="L70" s="19" t="s">
        <v>48</v>
      </c>
      <c r="M70" s="19" t="s">
        <v>117</v>
      </c>
      <c r="N70" s="19" t="s">
        <v>274</v>
      </c>
      <c r="O70" s="19" t="s">
        <v>117</v>
      </c>
      <c r="P70" s="19" t="s">
        <v>484</v>
      </c>
      <c r="Q70" s="19" t="s">
        <v>478</v>
      </c>
      <c r="R70" s="19" t="s">
        <v>485</v>
      </c>
      <c r="S70" s="19"/>
      <c r="T70" s="19" t="s">
        <v>54</v>
      </c>
      <c r="U70" s="19" t="s">
        <v>121</v>
      </c>
      <c r="V70" s="19" t="s">
        <v>56</v>
      </c>
      <c r="W70" s="19" t="s">
        <v>122</v>
      </c>
      <c r="X70" s="19" t="s">
        <v>235</v>
      </c>
      <c r="Y70" s="19" t="s">
        <v>235</v>
      </c>
      <c r="Z70" s="19" t="s">
        <v>486</v>
      </c>
      <c r="AA70" s="19">
        <v>2</v>
      </c>
      <c r="AB70" s="19">
        <v>2</v>
      </c>
      <c r="AC70" s="19" t="s">
        <v>60</v>
      </c>
      <c r="AD70" s="19" t="s">
        <v>484</v>
      </c>
      <c r="AE70" s="19" t="s">
        <v>79</v>
      </c>
      <c r="AF70" s="19"/>
    </row>
    <row r="71" spans="1:34" customHeight="1" ht="42">
      <c r="A71" s="19">
        <v>64</v>
      </c>
      <c r="B71" s="19" t="s">
        <v>481</v>
      </c>
      <c r="C71" s="19" t="s">
        <v>195</v>
      </c>
      <c r="D71" s="19" t="str">
        <f>HYPERLINK("http://www.henontech.com/fieldsafety/harzard/harzard_show.php?rid=1520&amp;url=harzardrecs.php","5.5米焦炉炉门修理站升降开关破，造成漏电，一职工在准备放倒炉门清理时，没有意识到开关漏电导致自己触电，送医抢救。")</f>
        <v>5.5米焦炉炉门修理站升降开关破，造成漏电，一职工在准备放倒炉门清理时，没有意识到开关漏电导致自己触电，送医抢救。</v>
      </c>
      <c r="E71" s="19" t="s">
        <v>487</v>
      </c>
      <c r="F71" s="20" t="s">
        <v>42</v>
      </c>
      <c r="G71" s="21" t="s">
        <v>43</v>
      </c>
      <c r="H71" s="19" t="s">
        <v>44</v>
      </c>
      <c r="I71" s="19" t="s">
        <v>45</v>
      </c>
      <c r="J71" s="19" t="s">
        <v>68</v>
      </c>
      <c r="K71" s="19" t="s">
        <v>47</v>
      </c>
      <c r="L71" s="19" t="s">
        <v>48</v>
      </c>
      <c r="M71" s="19" t="s">
        <v>117</v>
      </c>
      <c r="N71" s="19" t="s">
        <v>488</v>
      </c>
      <c r="O71" s="19" t="s">
        <v>117</v>
      </c>
      <c r="P71" s="19" t="s">
        <v>224</v>
      </c>
      <c r="Q71" s="19" t="s">
        <v>478</v>
      </c>
      <c r="R71" s="19" t="s">
        <v>489</v>
      </c>
      <c r="S71" s="19"/>
      <c r="T71" s="19" t="s">
        <v>54</v>
      </c>
      <c r="U71" s="19" t="s">
        <v>121</v>
      </c>
      <c r="V71" s="19" t="s">
        <v>56</v>
      </c>
      <c r="W71" s="19" t="s">
        <v>122</v>
      </c>
      <c r="X71" s="19" t="s">
        <v>235</v>
      </c>
      <c r="Y71" s="19" t="s">
        <v>235</v>
      </c>
      <c r="Z71" s="19" t="s">
        <v>490</v>
      </c>
      <c r="AA71" s="19">
        <v>2</v>
      </c>
      <c r="AB71" s="19">
        <v>1</v>
      </c>
      <c r="AC71" s="19" t="s">
        <v>60</v>
      </c>
      <c r="AD71" s="19" t="s">
        <v>224</v>
      </c>
      <c r="AE71" s="19" t="s">
        <v>147</v>
      </c>
      <c r="AF71" s="19"/>
    </row>
    <row r="72" spans="1:34">
      <c r="A72" s="19">
        <v>65</v>
      </c>
      <c r="B72" s="19" t="s">
        <v>481</v>
      </c>
      <c r="C72" s="19" t="s">
        <v>393</v>
      </c>
      <c r="D72" s="19" t="str">
        <f>HYPERLINK("http://www.henontech.com/fieldsafety/harzard/harzard_show.php?rid=1522&amp;url=harzardrecs.php","MVR现场管道泵电机无防雨罩，一旦电机绝缘性能降低下雨时雨水进入电机内部烧毁电机，造成财产损失1500元。")</f>
        <v>MVR现场管道泵电机无防雨罩，一旦电机绝缘性能降低下雨时雨水进入电机内部烧毁电机，造成财产损失1500元。</v>
      </c>
      <c r="E72" s="19" t="s">
        <v>491</v>
      </c>
      <c r="F72" s="20" t="s">
        <v>42</v>
      </c>
      <c r="G72" s="21" t="s">
        <v>43</v>
      </c>
      <c r="H72" s="19" t="s">
        <v>44</v>
      </c>
      <c r="I72" s="19" t="s">
        <v>67</v>
      </c>
      <c r="J72" s="19" t="s">
        <v>68</v>
      </c>
      <c r="K72" s="19" t="s">
        <v>47</v>
      </c>
      <c r="L72" s="19" t="s">
        <v>48</v>
      </c>
      <c r="M72" s="19" t="s">
        <v>70</v>
      </c>
      <c r="N72" s="19" t="s">
        <v>395</v>
      </c>
      <c r="O72" s="19" t="s">
        <v>70</v>
      </c>
      <c r="P72" s="19" t="s">
        <v>72</v>
      </c>
      <c r="Q72" s="19" t="s">
        <v>478</v>
      </c>
      <c r="R72" s="19" t="s">
        <v>492</v>
      </c>
      <c r="S72" s="19"/>
      <c r="T72" s="19" t="s">
        <v>100</v>
      </c>
      <c r="U72" s="19" t="s">
        <v>192</v>
      </c>
      <c r="V72" s="19" t="s">
        <v>271</v>
      </c>
      <c r="W72" s="19" t="s">
        <v>77</v>
      </c>
      <c r="X72" s="19"/>
      <c r="Y72" s="19"/>
      <c r="Z72" s="19" t="s">
        <v>493</v>
      </c>
      <c r="AA72" s="19">
        <v>1</v>
      </c>
      <c r="AB72" s="19">
        <v>1</v>
      </c>
      <c r="AC72" s="19" t="s">
        <v>60</v>
      </c>
      <c r="AD72" s="19" t="s">
        <v>72</v>
      </c>
      <c r="AE72" s="19" t="s">
        <v>113</v>
      </c>
      <c r="AF72" s="19"/>
    </row>
    <row r="73" spans="1:34">
      <c r="A73" s="19">
        <v>66</v>
      </c>
      <c r="B73" s="19" t="s">
        <v>241</v>
      </c>
      <c r="C73" s="19" t="s">
        <v>128</v>
      </c>
      <c r="D73" s="19" t="str">
        <f>HYPERLINK("http://www.henontech.com/fieldsafety/harzard/harzard_show.php?rid=1524&amp;url=harzardrecs.php","缺氧池爬梯护栏多处开焊，操作工在缺氧池巡检下爬梯时，爬梯护栏开焊，操作工不慎从爬梯上掉下来，摔在下方的池子盖板上，")</f>
        <v>缺氧池爬梯护栏多处开焊，操作工在缺氧池巡检下爬梯时，爬梯护栏开焊，操作工不慎从爬梯上掉下来，摔在下方的池子盖板上，</v>
      </c>
      <c r="E73" s="19" t="s">
        <v>494</v>
      </c>
      <c r="F73" s="20" t="s">
        <v>42</v>
      </c>
      <c r="G73" s="21" t="s">
        <v>43</v>
      </c>
      <c r="H73" s="19" t="s">
        <v>44</v>
      </c>
      <c r="I73" s="19" t="s">
        <v>83</v>
      </c>
      <c r="J73" s="19" t="s">
        <v>68</v>
      </c>
      <c r="K73" s="19" t="s">
        <v>47</v>
      </c>
      <c r="L73" s="19" t="s">
        <v>48</v>
      </c>
      <c r="M73" s="19" t="s">
        <v>49</v>
      </c>
      <c r="N73" s="19" t="s">
        <v>130</v>
      </c>
      <c r="O73" s="19" t="s">
        <v>49</v>
      </c>
      <c r="P73" s="19" t="s">
        <v>51</v>
      </c>
      <c r="Q73" s="19" t="s">
        <v>495</v>
      </c>
      <c r="R73" s="19" t="s">
        <v>496</v>
      </c>
      <c r="S73" s="19" t="s">
        <v>497</v>
      </c>
      <c r="T73" s="19" t="s">
        <v>54</v>
      </c>
      <c r="U73" s="19" t="s">
        <v>55</v>
      </c>
      <c r="V73" s="19" t="s">
        <v>56</v>
      </c>
      <c r="W73" s="19" t="s">
        <v>57</v>
      </c>
      <c r="X73" s="19" t="s">
        <v>58</v>
      </c>
      <c r="Y73" s="19" t="s">
        <v>58</v>
      </c>
      <c r="Z73" s="19" t="s">
        <v>498</v>
      </c>
      <c r="AA73" s="19">
        <v>1</v>
      </c>
      <c r="AB73" s="19">
        <v>1</v>
      </c>
      <c r="AC73" s="19" t="s">
        <v>60</v>
      </c>
      <c r="AD73" s="19" t="s">
        <v>51</v>
      </c>
      <c r="AE73" s="19" t="s">
        <v>262</v>
      </c>
      <c r="AF73" s="19" t="s">
        <v>62</v>
      </c>
    </row>
    <row r="74" spans="1:34">
      <c r="A74" s="19">
        <v>67</v>
      </c>
      <c r="B74" s="19" t="s">
        <v>241</v>
      </c>
      <c r="C74" s="19" t="s">
        <v>458</v>
      </c>
      <c r="D74" s="19" t="str">
        <f>HYPERLINK("http://www.henontech.com/fieldsafety/harzard/harzard_show.php?rid=1525&amp;url=harzardrecs.php","一名操作工在2#预热器巡检，未发现下液管阀门失效煤气外泄，假如未戴防毒口罩可能造成轻微煤气中毒。")</f>
        <v>一名操作工在2#预热器巡检，未发现下液管阀门失效煤气外泄，假如未戴防毒口罩可能造成轻微煤气中毒。</v>
      </c>
      <c r="E74" s="19" t="s">
        <v>499</v>
      </c>
      <c r="F74" s="20" t="s">
        <v>42</v>
      </c>
      <c r="G74" s="22" t="s">
        <v>66</v>
      </c>
      <c r="H74" s="19" t="s">
        <v>44</v>
      </c>
      <c r="I74" s="19" t="s">
        <v>45</v>
      </c>
      <c r="J74" s="19" t="s">
        <v>68</v>
      </c>
      <c r="K74" s="19" t="s">
        <v>69</v>
      </c>
      <c r="L74" s="19" t="s">
        <v>48</v>
      </c>
      <c r="M74" s="19" t="s">
        <v>70</v>
      </c>
      <c r="N74" s="19" t="s">
        <v>153</v>
      </c>
      <c r="O74" s="19" t="s">
        <v>70</v>
      </c>
      <c r="P74" s="19" t="s">
        <v>72</v>
      </c>
      <c r="Q74" s="19" t="s">
        <v>500</v>
      </c>
      <c r="R74" s="19" t="s">
        <v>501</v>
      </c>
      <c r="S74" s="19"/>
      <c r="T74" s="19" t="s">
        <v>54</v>
      </c>
      <c r="U74" s="19" t="s">
        <v>75</v>
      </c>
      <c r="V74" s="19" t="s">
        <v>101</v>
      </c>
      <c r="W74" s="19" t="s">
        <v>77</v>
      </c>
      <c r="X74" s="19"/>
      <c r="Y74" s="19"/>
      <c r="Z74" s="19" t="s">
        <v>502</v>
      </c>
      <c r="AA74" s="19">
        <v>1</v>
      </c>
      <c r="AB74" s="19">
        <v>1</v>
      </c>
      <c r="AC74" s="19" t="s">
        <v>60</v>
      </c>
      <c r="AD74" s="19" t="s">
        <v>72</v>
      </c>
      <c r="AE74" s="19" t="s">
        <v>113</v>
      </c>
      <c r="AF74" s="19"/>
    </row>
    <row r="75" spans="1:34">
      <c r="A75" s="19">
        <v>68</v>
      </c>
      <c r="B75" s="19" t="s">
        <v>241</v>
      </c>
      <c r="C75" s="19" t="s">
        <v>458</v>
      </c>
      <c r="D75" s="19" t="str">
        <f>HYPERLINK("http://www.henontech.com/fieldsafety/harzard/harzard_show.php?rid=1526&amp;url=harzardrecs.php","一名操作人员发现热风机房地面有水，在查找漏点过程中，假如未戴防护面罩，就可能被喷出的热水烫伤面部，立即用凉水冲洗后无碍。")</f>
        <v>一名操作人员发现热风机房地面有水，在查找漏点过程中，假如未戴防护面罩，就可能被喷出的热水烫伤面部，立即用凉水冲洗后无碍。</v>
      </c>
      <c r="E75" s="19" t="s">
        <v>503</v>
      </c>
      <c r="F75" s="20" t="s">
        <v>42</v>
      </c>
      <c r="G75" s="21" t="s">
        <v>43</v>
      </c>
      <c r="H75" s="19" t="s">
        <v>44</v>
      </c>
      <c r="I75" s="19" t="s">
        <v>45</v>
      </c>
      <c r="J75" s="19" t="s">
        <v>68</v>
      </c>
      <c r="K75" s="19" t="s">
        <v>145</v>
      </c>
      <c r="L75" s="19" t="s">
        <v>48</v>
      </c>
      <c r="M75" s="19" t="s">
        <v>70</v>
      </c>
      <c r="N75" s="19" t="s">
        <v>504</v>
      </c>
      <c r="O75" s="19" t="s">
        <v>70</v>
      </c>
      <c r="P75" s="19" t="s">
        <v>72</v>
      </c>
      <c r="Q75" s="19" t="s">
        <v>500</v>
      </c>
      <c r="R75" s="19" t="s">
        <v>505</v>
      </c>
      <c r="S75" s="19"/>
      <c r="T75" s="19" t="s">
        <v>54</v>
      </c>
      <c r="U75" s="19" t="s">
        <v>192</v>
      </c>
      <c r="V75" s="19" t="s">
        <v>101</v>
      </c>
      <c r="W75" s="19" t="s">
        <v>77</v>
      </c>
      <c r="X75" s="19"/>
      <c r="Y75" s="19"/>
      <c r="Z75" s="19" t="s">
        <v>506</v>
      </c>
      <c r="AA75" s="19">
        <v>1</v>
      </c>
      <c r="AB75" s="19">
        <v>1</v>
      </c>
      <c r="AC75" s="19" t="s">
        <v>60</v>
      </c>
      <c r="AD75" s="19" t="s">
        <v>72</v>
      </c>
      <c r="AE75" s="19" t="s">
        <v>113</v>
      </c>
      <c r="AF75" s="19"/>
    </row>
    <row r="76" spans="1:34">
      <c r="A76" s="19">
        <v>69</v>
      </c>
      <c r="B76" s="19" t="s">
        <v>241</v>
      </c>
      <c r="C76" s="19" t="s">
        <v>507</v>
      </c>
      <c r="D76" s="19" t="str">
        <f>HYPERLINK("http://www.henontech.com/fieldsafety/harzard/harzard_show.php?rid=1527&amp;url=harzardrecs.php","4号熔硫釜回流管线法兰处漏蒸汽，人员巡检时有可能被滴落的冷凝液烫伤。")</f>
        <v>4号熔硫釜回流管线法兰处漏蒸汽，人员巡检时有可能被滴落的冷凝液烫伤。</v>
      </c>
      <c r="E76" s="19" t="s">
        <v>508</v>
      </c>
      <c r="F76" s="20" t="s">
        <v>42</v>
      </c>
      <c r="G76" s="21" t="s">
        <v>43</v>
      </c>
      <c r="H76" s="19" t="s">
        <v>44</v>
      </c>
      <c r="I76" s="19" t="s">
        <v>67</v>
      </c>
      <c r="J76" s="19" t="s">
        <v>46</v>
      </c>
      <c r="K76" s="19" t="s">
        <v>47</v>
      </c>
      <c r="L76" s="19" t="s">
        <v>48</v>
      </c>
      <c r="M76" s="19" t="s">
        <v>70</v>
      </c>
      <c r="N76" s="19" t="s">
        <v>509</v>
      </c>
      <c r="O76" s="19" t="s">
        <v>70</v>
      </c>
      <c r="P76" s="19" t="s">
        <v>72</v>
      </c>
      <c r="Q76" s="19" t="s">
        <v>500</v>
      </c>
      <c r="R76" s="19" t="s">
        <v>510</v>
      </c>
      <c r="S76" s="19"/>
      <c r="T76" s="19" t="s">
        <v>54</v>
      </c>
      <c r="U76" s="19" t="s">
        <v>75</v>
      </c>
      <c r="V76" s="19" t="s">
        <v>101</v>
      </c>
      <c r="W76" s="19" t="s">
        <v>77</v>
      </c>
      <c r="X76" s="19"/>
      <c r="Y76" s="19"/>
      <c r="Z76" s="19" t="s">
        <v>511</v>
      </c>
      <c r="AA76" s="19">
        <v>1</v>
      </c>
      <c r="AB76" s="19">
        <v>1</v>
      </c>
      <c r="AC76" s="19" t="s">
        <v>60</v>
      </c>
      <c r="AD76" s="19" t="s">
        <v>72</v>
      </c>
      <c r="AE76" s="19" t="s">
        <v>457</v>
      </c>
      <c r="AF76" s="19"/>
    </row>
    <row r="77" spans="1:34" customHeight="1" ht="42">
      <c r="A77" s="19">
        <v>70</v>
      </c>
      <c r="B77" s="19" t="s">
        <v>147</v>
      </c>
      <c r="C77" s="19" t="s">
        <v>70</v>
      </c>
      <c r="D77" s="19" t="str">
        <f>HYPERLINK("http://www.henontech.com/fieldsafety/harzard/harzard_show.php?rid=1529&amp;url=harzardrecs.php","因雷雨天气，雨淋后造成电机外壳带电，假设一名操作工去调节计量泵流量时触电，被另一名操作工巡检时发现，拨打120送往医院抢救无效死亡。")</f>
        <v>因雷雨天气，雨淋后造成电机外壳带电，假设一名操作工去调节计量泵流量时触电，被另一名操作工巡检时发现，拨打120送往医院抢救无效死亡。</v>
      </c>
      <c r="E77" s="19" t="s">
        <v>512</v>
      </c>
      <c r="F77" s="20" t="s">
        <v>42</v>
      </c>
      <c r="G77" s="22" t="s">
        <v>66</v>
      </c>
      <c r="H77" s="19" t="s">
        <v>44</v>
      </c>
      <c r="I77" s="19" t="s">
        <v>67</v>
      </c>
      <c r="J77" s="19" t="s">
        <v>46</v>
      </c>
      <c r="K77" s="19" t="s">
        <v>69</v>
      </c>
      <c r="L77" s="19" t="s">
        <v>48</v>
      </c>
      <c r="M77" s="19" t="s">
        <v>70</v>
      </c>
      <c r="N77" s="19" t="s">
        <v>513</v>
      </c>
      <c r="O77" s="19" t="s">
        <v>70</v>
      </c>
      <c r="P77" s="19" t="s">
        <v>72</v>
      </c>
      <c r="Q77" s="19" t="s">
        <v>500</v>
      </c>
      <c r="R77" s="19" t="s">
        <v>143</v>
      </c>
      <c r="S77" s="19"/>
      <c r="T77" s="19" t="s">
        <v>54</v>
      </c>
      <c r="U77" s="19" t="s">
        <v>121</v>
      </c>
      <c r="V77" s="19" t="s">
        <v>56</v>
      </c>
      <c r="W77" s="19" t="s">
        <v>122</v>
      </c>
      <c r="X77" s="19"/>
      <c r="Y77" s="19"/>
      <c r="Z77" s="19" t="s">
        <v>514</v>
      </c>
      <c r="AA77" s="19">
        <v>2</v>
      </c>
      <c r="AB77" s="19">
        <v>2</v>
      </c>
      <c r="AC77" s="19" t="s">
        <v>60</v>
      </c>
      <c r="AD77" s="19" t="s">
        <v>72</v>
      </c>
      <c r="AE77" s="19" t="s">
        <v>515</v>
      </c>
      <c r="AF77" s="19"/>
    </row>
    <row r="78" spans="1:34">
      <c r="A78" s="19">
        <v>71</v>
      </c>
      <c r="B78" s="19" t="s">
        <v>147</v>
      </c>
      <c r="C78" s="19" t="s">
        <v>70</v>
      </c>
      <c r="D78" s="19" t="str">
        <f>HYPERLINK("http://www.henontech.com/fieldsafety/harzard/harzard_show.php?rid=1530&amp;url=harzardrecs.php","夜间巡检一名操作工经过此处，视线昏暗，被横在路中间的槽钢绊倒。手臂擦伤。继续上班。")</f>
        <v>夜间巡检一名操作工经过此处，视线昏暗，被横在路中间的槽钢绊倒。手臂擦伤。继续上班。</v>
      </c>
      <c r="E78" s="19" t="s">
        <v>516</v>
      </c>
      <c r="F78" s="20" t="s">
        <v>42</v>
      </c>
      <c r="G78" s="21" t="s">
        <v>43</v>
      </c>
      <c r="H78" s="19" t="s">
        <v>44</v>
      </c>
      <c r="I78" s="19" t="s">
        <v>45</v>
      </c>
      <c r="J78" s="19" t="s">
        <v>334</v>
      </c>
      <c r="K78" s="19" t="s">
        <v>69</v>
      </c>
      <c r="L78" s="19" t="s">
        <v>48</v>
      </c>
      <c r="M78" s="19" t="s">
        <v>70</v>
      </c>
      <c r="N78" s="19" t="s">
        <v>517</v>
      </c>
      <c r="O78" s="19" t="s">
        <v>70</v>
      </c>
      <c r="P78" s="19" t="s">
        <v>72</v>
      </c>
      <c r="Q78" s="19" t="s">
        <v>500</v>
      </c>
      <c r="R78" s="19" t="s">
        <v>518</v>
      </c>
      <c r="S78" s="19"/>
      <c r="T78" s="19" t="s">
        <v>54</v>
      </c>
      <c r="U78" s="19" t="s">
        <v>75</v>
      </c>
      <c r="V78" s="19" t="s">
        <v>101</v>
      </c>
      <c r="W78" s="19" t="s">
        <v>77</v>
      </c>
      <c r="X78" s="19"/>
      <c r="Y78" s="19"/>
      <c r="Z78" s="19" t="s">
        <v>519</v>
      </c>
      <c r="AA78" s="19">
        <v>1</v>
      </c>
      <c r="AB78" s="19">
        <v>1</v>
      </c>
      <c r="AC78" s="19" t="s">
        <v>60</v>
      </c>
      <c r="AD78" s="19" t="s">
        <v>72</v>
      </c>
      <c r="AE78" s="19" t="s">
        <v>113</v>
      </c>
      <c r="AF78" s="19"/>
    </row>
    <row r="79" spans="1:34">
      <c r="A79" s="19">
        <v>72</v>
      </c>
      <c r="B79" s="19" t="s">
        <v>147</v>
      </c>
      <c r="C79" s="19" t="s">
        <v>520</v>
      </c>
      <c r="D79" s="19" t="str">
        <f>HYPERLINK("http://www.henontech.com/fieldsafety/harzard/harzard_show.php?rid=1531&amp;url=harzardrecs.php","深度处理加药间放盐酸阀门上方法兰漏液，酸液滴落到地面，对地面造成腐蚀，巡检及时发现，一小时内处理完毕")</f>
        <v>深度处理加药间放盐酸阀门上方法兰漏液，酸液滴落到地面，对地面造成腐蚀，巡检及时发现，一小时内处理完毕</v>
      </c>
      <c r="E79" s="19" t="s">
        <v>521</v>
      </c>
      <c r="F79" s="20" t="s">
        <v>42</v>
      </c>
      <c r="G79" s="21" t="s">
        <v>43</v>
      </c>
      <c r="H79" s="19" t="s">
        <v>44</v>
      </c>
      <c r="I79" s="19"/>
      <c r="J79" s="19" t="s">
        <v>46</v>
      </c>
      <c r="K79" s="19" t="s">
        <v>47</v>
      </c>
      <c r="L79" s="19" t="s">
        <v>48</v>
      </c>
      <c r="M79" s="19" t="s">
        <v>49</v>
      </c>
      <c r="N79" s="19" t="s">
        <v>522</v>
      </c>
      <c r="O79" s="19" t="s">
        <v>49</v>
      </c>
      <c r="P79" s="19" t="s">
        <v>523</v>
      </c>
      <c r="Q79" s="19" t="s">
        <v>500</v>
      </c>
      <c r="R79" s="19" t="s">
        <v>524</v>
      </c>
      <c r="S79" s="19"/>
      <c r="T79" s="19" t="s">
        <v>270</v>
      </c>
      <c r="U79" s="19" t="s">
        <v>192</v>
      </c>
      <c r="V79" s="19" t="s">
        <v>271</v>
      </c>
      <c r="W79" s="19" t="s">
        <v>77</v>
      </c>
      <c r="X79" s="19" t="s">
        <v>58</v>
      </c>
      <c r="Y79" s="19" t="s">
        <v>58</v>
      </c>
      <c r="Z79" s="19" t="s">
        <v>525</v>
      </c>
      <c r="AA79" s="19">
        <v>1</v>
      </c>
      <c r="AB79" s="19">
        <v>1</v>
      </c>
      <c r="AC79" s="19" t="s">
        <v>60</v>
      </c>
      <c r="AD79" s="19" t="s">
        <v>523</v>
      </c>
      <c r="AE79" s="19" t="s">
        <v>526</v>
      </c>
      <c r="AF79" s="19" t="s">
        <v>62</v>
      </c>
    </row>
    <row r="80" spans="1:34" customHeight="1" ht="42">
      <c r="A80" s="19">
        <v>73</v>
      </c>
      <c r="B80" s="19" t="s">
        <v>147</v>
      </c>
      <c r="C80" s="19" t="s">
        <v>284</v>
      </c>
      <c r="D80" s="19" t="str">
        <f>HYPERLINK("http://www.henontech.com/fieldsafety/harzard/harzard_show.php?rid=1532&amp;url=harzardrecs.php","西五卸料筒闸板未关闭，掉落杂物砸伤过往行人")</f>
        <v>西五卸料筒闸板未关闭，掉落杂物砸伤过往行人</v>
      </c>
      <c r="E80" s="19" t="s">
        <v>527</v>
      </c>
      <c r="F80" s="20" t="s">
        <v>42</v>
      </c>
      <c r="G80" s="22" t="s">
        <v>66</v>
      </c>
      <c r="H80" s="19" t="s">
        <v>44</v>
      </c>
      <c r="I80" s="19"/>
      <c r="J80" s="19"/>
      <c r="K80" s="19" t="s">
        <v>47</v>
      </c>
      <c r="L80" s="19"/>
      <c r="M80" s="19" t="s">
        <v>285</v>
      </c>
      <c r="N80" s="19" t="s">
        <v>528</v>
      </c>
      <c r="O80" s="19" t="s">
        <v>285</v>
      </c>
      <c r="P80" s="19" t="s">
        <v>419</v>
      </c>
      <c r="Q80" s="19" t="s">
        <v>420</v>
      </c>
      <c r="R80" s="19" t="s">
        <v>529</v>
      </c>
      <c r="S80" s="19"/>
      <c r="T80" s="19" t="s">
        <v>54</v>
      </c>
      <c r="U80" s="19" t="s">
        <v>75</v>
      </c>
      <c r="V80" s="19" t="s">
        <v>56</v>
      </c>
      <c r="W80" s="19" t="s">
        <v>138</v>
      </c>
      <c r="X80" s="19" t="s">
        <v>226</v>
      </c>
      <c r="Y80" s="19" t="s">
        <v>235</v>
      </c>
      <c r="Z80" s="19" t="s">
        <v>530</v>
      </c>
      <c r="AA80" s="19">
        <v>2</v>
      </c>
      <c r="AB80" s="19">
        <v>2</v>
      </c>
      <c r="AC80" s="19" t="s">
        <v>60</v>
      </c>
      <c r="AD80" s="19" t="s">
        <v>419</v>
      </c>
      <c r="AE80" s="19" t="s">
        <v>420</v>
      </c>
      <c r="AF80" s="19" t="s">
        <v>531</v>
      </c>
    </row>
    <row r="81" spans="1:34">
      <c r="A81" s="19">
        <v>74</v>
      </c>
      <c r="B81" s="19" t="s">
        <v>526</v>
      </c>
      <c r="C81" s="19" t="s">
        <v>70</v>
      </c>
      <c r="D81" s="19" t="str">
        <f>HYPERLINK("http://www.henontech.com/fieldsafety/harzard/harzard_show.php?rid=1533&amp;url=harzardrecs.php","一名电焊工在焊接管道，未戴安全帽，可能导致电焊火花灼伤面部，轻微烧伤，继续上班。")</f>
        <v>一名电焊工在焊接管道，未戴安全帽，可能导致电焊火花灼伤面部，轻微烧伤，继续上班。</v>
      </c>
      <c r="E81" s="19" t="s">
        <v>532</v>
      </c>
      <c r="F81" s="24" t="s">
        <v>387</v>
      </c>
      <c r="G81" s="21" t="s">
        <v>43</v>
      </c>
      <c r="H81" s="19" t="s">
        <v>44</v>
      </c>
      <c r="I81" s="19" t="s">
        <v>437</v>
      </c>
      <c r="J81" s="19" t="s">
        <v>334</v>
      </c>
      <c r="K81" s="19"/>
      <c r="L81" s="19"/>
      <c r="M81" s="19" t="s">
        <v>70</v>
      </c>
      <c r="N81" s="19" t="s">
        <v>533</v>
      </c>
      <c r="O81" s="19"/>
      <c r="P81" s="19"/>
      <c r="Q81" s="19"/>
      <c r="R81" s="19" t="s">
        <v>64</v>
      </c>
      <c r="S81" s="19" t="s">
        <v>534</v>
      </c>
      <c r="T81" s="19" t="s">
        <v>54</v>
      </c>
      <c r="U81" s="19" t="s">
        <v>75</v>
      </c>
      <c r="V81" s="19" t="s">
        <v>101</v>
      </c>
      <c r="W81" s="19" t="s">
        <v>77</v>
      </c>
      <c r="X81" s="19"/>
      <c r="Y81" s="19"/>
      <c r="Z81" s="19"/>
      <c r="AA81" s="19">
        <v>0</v>
      </c>
      <c r="AB81" s="19"/>
      <c r="AC81" s="19" t="s">
        <v>392</v>
      </c>
      <c r="AD81" s="19"/>
      <c r="AE81" s="19"/>
      <c r="AF81" s="19"/>
    </row>
    <row r="82" spans="1:34">
      <c r="A82" s="19">
        <v>75</v>
      </c>
      <c r="B82" s="19" t="s">
        <v>526</v>
      </c>
      <c r="C82" s="19" t="s">
        <v>535</v>
      </c>
      <c r="D82" s="19" t="str">
        <f>HYPERLINK("http://www.henontech.com/fieldsafety/harzard/harzard_show.php?rid=1534&amp;url=harzardrecs.php","一操作工在允许动火区域焊接管道时，未佩戴安全帽，一旦焊接火花过高，造成头部烫伤，去医务室进行治疗，休息2小时，继续上班.")</f>
        <v>一操作工在允许动火区域焊接管道时，未佩戴安全帽，一旦焊接火花过高，造成头部烫伤，去医务室进行治疗，休息2小时，继续上班.</v>
      </c>
      <c r="E82" s="19" t="s">
        <v>536</v>
      </c>
      <c r="F82" s="20" t="s">
        <v>42</v>
      </c>
      <c r="G82" s="21" t="s">
        <v>43</v>
      </c>
      <c r="H82" s="19" t="s">
        <v>44</v>
      </c>
      <c r="I82" s="19" t="s">
        <v>45</v>
      </c>
      <c r="J82" s="19" t="s">
        <v>537</v>
      </c>
      <c r="K82" s="19" t="s">
        <v>69</v>
      </c>
      <c r="L82" s="19" t="s">
        <v>48</v>
      </c>
      <c r="M82" s="19" t="s">
        <v>70</v>
      </c>
      <c r="N82" s="19" t="s">
        <v>533</v>
      </c>
      <c r="O82" s="19" t="s">
        <v>70</v>
      </c>
      <c r="P82" s="19" t="s">
        <v>72</v>
      </c>
      <c r="Q82" s="19" t="s">
        <v>500</v>
      </c>
      <c r="R82" s="19" t="s">
        <v>538</v>
      </c>
      <c r="S82" s="19"/>
      <c r="T82" s="19" t="s">
        <v>54</v>
      </c>
      <c r="U82" s="19" t="s">
        <v>75</v>
      </c>
      <c r="V82" s="19" t="s">
        <v>76</v>
      </c>
      <c r="W82" s="19" t="s">
        <v>77</v>
      </c>
      <c r="X82" s="19"/>
      <c r="Y82" s="19"/>
      <c r="Z82" s="19" t="s">
        <v>539</v>
      </c>
      <c r="AA82" s="19">
        <v>1</v>
      </c>
      <c r="AB82" s="19">
        <v>1</v>
      </c>
      <c r="AC82" s="19" t="s">
        <v>60</v>
      </c>
      <c r="AD82" s="19" t="s">
        <v>72</v>
      </c>
      <c r="AE82" s="19" t="s">
        <v>113</v>
      </c>
      <c r="AF82" s="19"/>
    </row>
    <row r="83" spans="1:34">
      <c r="A83" s="19">
        <v>76</v>
      </c>
      <c r="B83" s="19" t="s">
        <v>526</v>
      </c>
      <c r="C83" s="19" t="s">
        <v>293</v>
      </c>
      <c r="D83" s="19" t="str">
        <f>HYPERLINK("http://www.henontech.com/fieldsafety/harzard/harzard_show.php?rid=1537&amp;url=harzardrecs.php","北风机初冷器前煤气管道处爬梯较窄顶部未固定，人员在爬爬梯时会发生摆动。如果一名仪表人员在爬爬梯查看仪表时，爬梯摆动过大倒塌，造成一人从爬梯摔落左小腿骨折，送医治疗三个月后康复。")</f>
        <v>北风机初冷器前煤气管道处爬梯较窄顶部未固定，人员在爬爬梯时会发生摆动。如果一名仪表人员在爬爬梯查看仪表时，爬梯摆动过大倒塌，造成一人从爬梯摔落左小腿骨折，送医治疗三个月后康复。</v>
      </c>
      <c r="E83" s="19" t="s">
        <v>540</v>
      </c>
      <c r="F83" s="20" t="s">
        <v>42</v>
      </c>
      <c r="G83" s="21" t="s">
        <v>43</v>
      </c>
      <c r="H83" s="19" t="s">
        <v>44</v>
      </c>
      <c r="I83" s="19" t="s">
        <v>83</v>
      </c>
      <c r="J83" s="19" t="s">
        <v>46</v>
      </c>
      <c r="K83" s="19" t="s">
        <v>69</v>
      </c>
      <c r="L83" s="19" t="s">
        <v>48</v>
      </c>
      <c r="M83" s="19" t="s">
        <v>70</v>
      </c>
      <c r="N83" s="19" t="s">
        <v>295</v>
      </c>
      <c r="O83" s="19" t="s">
        <v>70</v>
      </c>
      <c r="P83" s="19" t="s">
        <v>72</v>
      </c>
      <c r="Q83" s="19" t="s">
        <v>541</v>
      </c>
      <c r="R83" s="19" t="s">
        <v>542</v>
      </c>
      <c r="S83" s="19"/>
      <c r="T83" s="19" t="s">
        <v>54</v>
      </c>
      <c r="U83" s="19" t="s">
        <v>55</v>
      </c>
      <c r="V83" s="19" t="s">
        <v>56</v>
      </c>
      <c r="W83" s="19" t="s">
        <v>57</v>
      </c>
      <c r="X83" s="19"/>
      <c r="Y83" s="19"/>
      <c r="Z83" s="19" t="s">
        <v>543</v>
      </c>
      <c r="AA83" s="19">
        <v>1</v>
      </c>
      <c r="AB83" s="19">
        <v>1</v>
      </c>
      <c r="AC83" s="19" t="s">
        <v>60</v>
      </c>
      <c r="AD83" s="19" t="s">
        <v>72</v>
      </c>
      <c r="AE83" s="19" t="s">
        <v>544</v>
      </c>
      <c r="AF83" s="19"/>
    </row>
    <row r="84" spans="1:34">
      <c r="A84" s="19">
        <v>77</v>
      </c>
      <c r="B84" s="19" t="s">
        <v>526</v>
      </c>
      <c r="C84" s="19" t="s">
        <v>266</v>
      </c>
      <c r="D84" s="19" t="str">
        <f>HYPERLINK("http://www.henontech.com/fieldsafety/harzard/harzard_show.php?rid=1538&amp;url=harzardrecs.php","东风机房一楼东侧窗户上部（一号风机煤气进口阀门下部）有一小块彩钢瓦倾斜，如果操作人员在擦窗户时彩钢瓦掉落，砸到操作人员左侧肩膀，造成左侧肩膀擦伤，轻微人身伤害，不影响工作")</f>
        <v>东风机房一楼东侧窗户上部（一号风机煤气进口阀门下部）有一小块彩钢瓦倾斜，如果操作人员在擦窗户时彩钢瓦掉落，砸到操作人员左侧肩膀，造成左侧肩膀擦伤，轻微人身伤害，不影响工作</v>
      </c>
      <c r="E84" s="19" t="s">
        <v>545</v>
      </c>
      <c r="F84" s="20" t="s">
        <v>42</v>
      </c>
      <c r="G84" s="21" t="s">
        <v>43</v>
      </c>
      <c r="H84" s="19" t="s">
        <v>44</v>
      </c>
      <c r="I84" s="19"/>
      <c r="J84" s="19" t="s">
        <v>46</v>
      </c>
      <c r="K84" s="19" t="s">
        <v>69</v>
      </c>
      <c r="L84" s="19" t="s">
        <v>48</v>
      </c>
      <c r="M84" s="19" t="s">
        <v>70</v>
      </c>
      <c r="N84" s="19" t="s">
        <v>268</v>
      </c>
      <c r="O84" s="19" t="s">
        <v>70</v>
      </c>
      <c r="P84" s="19" t="s">
        <v>72</v>
      </c>
      <c r="Q84" s="19" t="s">
        <v>541</v>
      </c>
      <c r="R84" s="19" t="s">
        <v>546</v>
      </c>
      <c r="S84" s="19"/>
      <c r="T84" s="19" t="s">
        <v>54</v>
      </c>
      <c r="U84" s="19" t="s">
        <v>75</v>
      </c>
      <c r="V84" s="19" t="s">
        <v>56</v>
      </c>
      <c r="W84" s="19" t="s">
        <v>138</v>
      </c>
      <c r="X84" s="19"/>
      <c r="Y84" s="19"/>
      <c r="Z84" s="19" t="s">
        <v>547</v>
      </c>
      <c r="AA84" s="19">
        <v>1</v>
      </c>
      <c r="AB84" s="19">
        <v>1</v>
      </c>
      <c r="AC84" s="19" t="s">
        <v>60</v>
      </c>
      <c r="AD84" s="19" t="s">
        <v>72</v>
      </c>
      <c r="AE84" s="19" t="s">
        <v>548</v>
      </c>
      <c r="AF84" s="19"/>
    </row>
    <row r="85" spans="1:34" customHeight="1" ht="42">
      <c r="A85" s="19">
        <v>78</v>
      </c>
      <c r="B85" s="19" t="s">
        <v>526</v>
      </c>
      <c r="C85" s="19" t="s">
        <v>549</v>
      </c>
      <c r="D85" s="19" t="str">
        <f>HYPERLINK("http://www.henontech.com/fieldsafety/harzard/harzard_show.php?rid=1539&amp;url=harzardrecs.php","风机后蒸汽阀门关闭不严，如果一工作人员在夜间巡检，上下爬梯时，手臂不小心被喷出的蒸汽和蒸汽水烫伤，住院治疗五天，损工五天。")</f>
        <v>风机后蒸汽阀门关闭不严，如果一工作人员在夜间巡检，上下爬梯时，手臂不小心被喷出的蒸汽和蒸汽水烫伤，住院治疗五天，损工五天。</v>
      </c>
      <c r="E85" s="19" t="s">
        <v>550</v>
      </c>
      <c r="F85" s="20" t="s">
        <v>42</v>
      </c>
      <c r="G85" s="21" t="s">
        <v>43</v>
      </c>
      <c r="H85" s="19" t="s">
        <v>44</v>
      </c>
      <c r="I85" s="19"/>
      <c r="J85" s="19" t="s">
        <v>68</v>
      </c>
      <c r="K85" s="19" t="s">
        <v>47</v>
      </c>
      <c r="L85" s="19" t="s">
        <v>48</v>
      </c>
      <c r="M85" s="19" t="s">
        <v>70</v>
      </c>
      <c r="N85" s="19" t="s">
        <v>551</v>
      </c>
      <c r="O85" s="19" t="s">
        <v>70</v>
      </c>
      <c r="P85" s="19" t="s">
        <v>72</v>
      </c>
      <c r="Q85" s="19" t="s">
        <v>541</v>
      </c>
      <c r="R85" s="19" t="s">
        <v>552</v>
      </c>
      <c r="S85" s="19"/>
      <c r="T85" s="19" t="s">
        <v>54</v>
      </c>
      <c r="U85" s="19" t="s">
        <v>55</v>
      </c>
      <c r="V85" s="19" t="s">
        <v>56</v>
      </c>
      <c r="W85" s="19" t="s">
        <v>57</v>
      </c>
      <c r="X85" s="19"/>
      <c r="Y85" s="19"/>
      <c r="Z85" s="19" t="s">
        <v>553</v>
      </c>
      <c r="AA85" s="19">
        <v>2</v>
      </c>
      <c r="AB85" s="19">
        <v>2</v>
      </c>
      <c r="AC85" s="19" t="s">
        <v>60</v>
      </c>
      <c r="AD85" s="19" t="s">
        <v>72</v>
      </c>
      <c r="AE85" s="19" t="s">
        <v>420</v>
      </c>
      <c r="AF85" s="19"/>
    </row>
    <row r="86" spans="1:34">
      <c r="A86" s="19">
        <v>79</v>
      </c>
      <c r="B86" s="19" t="s">
        <v>113</v>
      </c>
      <c r="C86" s="19" t="s">
        <v>284</v>
      </c>
      <c r="D86" s="19" t="str">
        <f>HYPERLINK("http://www.henontech.com/fieldsafety/harzard/harzard_show.php?rid=1540&amp;url=harzardrecs.php","一名员工路径通廊下方，被脱落的通廊包边划伤脸部，及时送医救治，缝合3针，住院治疗7天后复工。")</f>
        <v>一名员工路径通廊下方，被脱落的通廊包边划伤脸部，及时送医救治，缝合3针，住院治疗7天后复工。</v>
      </c>
      <c r="E86" s="19" t="s">
        <v>554</v>
      </c>
      <c r="F86" s="20" t="s">
        <v>42</v>
      </c>
      <c r="G86" s="22" t="s">
        <v>66</v>
      </c>
      <c r="H86" s="19" t="s">
        <v>44</v>
      </c>
      <c r="I86" s="19" t="s">
        <v>45</v>
      </c>
      <c r="J86" s="19" t="s">
        <v>46</v>
      </c>
      <c r="K86" s="19" t="s">
        <v>47</v>
      </c>
      <c r="L86" s="19" t="s">
        <v>48</v>
      </c>
      <c r="M86" s="19" t="s">
        <v>285</v>
      </c>
      <c r="N86" s="19" t="s">
        <v>555</v>
      </c>
      <c r="O86" s="19" t="s">
        <v>285</v>
      </c>
      <c r="P86" s="19" t="s">
        <v>419</v>
      </c>
      <c r="Q86" s="19" t="s">
        <v>420</v>
      </c>
      <c r="R86" s="19" t="s">
        <v>556</v>
      </c>
      <c r="S86" s="19"/>
      <c r="T86" s="19" t="s">
        <v>54</v>
      </c>
      <c r="U86" s="19" t="s">
        <v>75</v>
      </c>
      <c r="V86" s="19" t="s">
        <v>101</v>
      </c>
      <c r="W86" s="19" t="s">
        <v>77</v>
      </c>
      <c r="X86" s="19" t="s">
        <v>58</v>
      </c>
      <c r="Y86" s="19" t="s">
        <v>58</v>
      </c>
      <c r="Z86" s="19" t="s">
        <v>557</v>
      </c>
      <c r="AA86" s="19">
        <v>1</v>
      </c>
      <c r="AB86" s="19">
        <v>1</v>
      </c>
      <c r="AC86" s="19" t="s">
        <v>60</v>
      </c>
      <c r="AD86" s="19" t="s">
        <v>419</v>
      </c>
      <c r="AE86" s="19" t="s">
        <v>420</v>
      </c>
      <c r="AF86" s="19" t="s">
        <v>531</v>
      </c>
    </row>
    <row r="87" spans="1:34" customHeight="1" ht="42">
      <c r="A87" s="19">
        <v>80</v>
      </c>
      <c r="B87" s="19" t="s">
        <v>113</v>
      </c>
      <c r="C87" s="19" t="s">
        <v>106</v>
      </c>
      <c r="D87" s="19" t="str">
        <f>HYPERLINK("http://www.henontech.com/fieldsafety/harzard/harzard_show.php?rid=1541&amp;url=harzardrecs.php","洗眼器出口管道开裂，假如一名操作工在操作设备时，含有百分之四的硫酸母液不慎溅入右眼中，洗眼器出口管道开裂，不能及时冲洗，造成右眼灼伤，到医院简单治疗后回家修养七天，损工七天。")</f>
        <v>洗眼器出口管道开裂，假如一名操作工在操作设备时，含有百分之四的硫酸母液不慎溅入右眼中，洗眼器出口管道开裂，不能及时冲洗，造成右眼灼伤，到医院简单治疗后回家修养七天，损工七天。</v>
      </c>
      <c r="E87" s="19" t="s">
        <v>558</v>
      </c>
      <c r="F87" s="20" t="s">
        <v>42</v>
      </c>
      <c r="G87" s="21" t="s">
        <v>43</v>
      </c>
      <c r="H87" s="19" t="s">
        <v>44</v>
      </c>
      <c r="I87" s="19" t="s">
        <v>67</v>
      </c>
      <c r="J87" s="19" t="s">
        <v>46</v>
      </c>
      <c r="K87" s="19" t="s">
        <v>47</v>
      </c>
      <c r="L87" s="19"/>
      <c r="M87" s="19" t="s">
        <v>70</v>
      </c>
      <c r="N87" s="19" t="s">
        <v>559</v>
      </c>
      <c r="O87" s="19" t="s">
        <v>70</v>
      </c>
      <c r="P87" s="19" t="s">
        <v>72</v>
      </c>
      <c r="Q87" s="19" t="s">
        <v>541</v>
      </c>
      <c r="R87" s="19" t="s">
        <v>560</v>
      </c>
      <c r="S87" s="19"/>
      <c r="T87" s="19" t="s">
        <v>54</v>
      </c>
      <c r="U87" s="19" t="s">
        <v>55</v>
      </c>
      <c r="V87" s="19" t="s">
        <v>56</v>
      </c>
      <c r="W87" s="19" t="s">
        <v>57</v>
      </c>
      <c r="X87" s="19"/>
      <c r="Y87" s="19"/>
      <c r="Z87" s="19" t="s">
        <v>561</v>
      </c>
      <c r="AA87" s="19">
        <v>2</v>
      </c>
      <c r="AB87" s="19">
        <v>1</v>
      </c>
      <c r="AC87" s="19" t="s">
        <v>60</v>
      </c>
      <c r="AD87" s="19" t="s">
        <v>72</v>
      </c>
      <c r="AE87" s="19" t="s">
        <v>113</v>
      </c>
      <c r="AF87" s="19"/>
    </row>
    <row r="88" spans="1:34">
      <c r="A88" s="19">
        <v>81</v>
      </c>
      <c r="B88" s="19" t="s">
        <v>113</v>
      </c>
      <c r="C88" s="19" t="s">
        <v>562</v>
      </c>
      <c r="D88" s="19" t="str">
        <f>HYPERLINK("http://www.henontech.com/fieldsafety/harzard/harzard_show.php?rid=1542&amp;url=harzardrecs.php","一名操作人员在往液碱储槽打液碱开启泵出口阀门时，因法兰垫子老化且法兰处未加装防护罩，导致液碱喷出溅到操作人员的颈肩部，灼伤皮肤，住院治疗一周出院，限工七天。")</f>
        <v>一名操作人员在往液碱储槽打液碱开启泵出口阀门时，因法兰垫子老化且法兰处未加装防护罩，导致液碱喷出溅到操作人员的颈肩部，灼伤皮肤，住院治疗一周出院，限工七天。</v>
      </c>
      <c r="E88" s="19" t="s">
        <v>563</v>
      </c>
      <c r="F88" s="20" t="s">
        <v>42</v>
      </c>
      <c r="G88" s="21" t="s">
        <v>43</v>
      </c>
      <c r="H88" s="19" t="s">
        <v>44</v>
      </c>
      <c r="I88" s="19" t="s">
        <v>45</v>
      </c>
      <c r="J88" s="19" t="s">
        <v>46</v>
      </c>
      <c r="K88" s="19" t="s">
        <v>69</v>
      </c>
      <c r="L88" s="19" t="s">
        <v>48</v>
      </c>
      <c r="M88" s="19" t="s">
        <v>70</v>
      </c>
      <c r="N88" s="19" t="s">
        <v>564</v>
      </c>
      <c r="O88" s="19" t="s">
        <v>70</v>
      </c>
      <c r="P88" s="19" t="s">
        <v>72</v>
      </c>
      <c r="Q88" s="19" t="s">
        <v>541</v>
      </c>
      <c r="R88" s="19" t="s">
        <v>565</v>
      </c>
      <c r="S88" s="19"/>
      <c r="T88" s="19" t="s">
        <v>54</v>
      </c>
      <c r="U88" s="19" t="s">
        <v>55</v>
      </c>
      <c r="V88" s="19" t="s">
        <v>56</v>
      </c>
      <c r="W88" s="19" t="s">
        <v>57</v>
      </c>
      <c r="X88" s="19"/>
      <c r="Y88" s="19"/>
      <c r="Z88" s="19" t="s">
        <v>566</v>
      </c>
      <c r="AA88" s="19">
        <v>1</v>
      </c>
      <c r="AB88" s="19">
        <v>1</v>
      </c>
      <c r="AC88" s="19" t="s">
        <v>60</v>
      </c>
      <c r="AD88" s="19" t="s">
        <v>72</v>
      </c>
      <c r="AE88" s="19" t="s">
        <v>567</v>
      </c>
      <c r="AF88" s="19"/>
    </row>
    <row r="89" spans="1:34">
      <c r="A89" s="19">
        <v>82</v>
      </c>
      <c r="B89" s="19" t="s">
        <v>420</v>
      </c>
      <c r="C89" s="19" t="s">
        <v>158</v>
      </c>
      <c r="D89" s="19" t="str">
        <f>HYPERLINK("http://www.henontech.com/fieldsafety/harzard/harzard_show.php?rid=1543&amp;url=harzardrecs.php","洗脱苯南系统再生器平台护栏底部开焊，如果操作人员巡检时经过此处时护栏从2米左右高处坠落，造成操作人员肩部砸伤，在家休息三天后正常上班。")</f>
        <v>洗脱苯南系统再生器平台护栏底部开焊，如果操作人员巡检时经过此处时护栏从2米左右高处坠落，造成操作人员肩部砸伤，在家休息三天后正常上班。</v>
      </c>
      <c r="E89" s="19" t="s">
        <v>568</v>
      </c>
      <c r="F89" s="20" t="s">
        <v>42</v>
      </c>
      <c r="G89" s="21" t="s">
        <v>43</v>
      </c>
      <c r="H89" s="19" t="s">
        <v>44</v>
      </c>
      <c r="I89" s="19" t="s">
        <v>67</v>
      </c>
      <c r="J89" s="19" t="s">
        <v>401</v>
      </c>
      <c r="K89" s="19" t="s">
        <v>69</v>
      </c>
      <c r="L89" s="19" t="s">
        <v>48</v>
      </c>
      <c r="M89" s="19" t="s">
        <v>70</v>
      </c>
      <c r="N89" s="19" t="s">
        <v>160</v>
      </c>
      <c r="O89" s="19" t="s">
        <v>70</v>
      </c>
      <c r="P89" s="19" t="s">
        <v>72</v>
      </c>
      <c r="Q89" s="19" t="s">
        <v>569</v>
      </c>
      <c r="R89" s="19" t="s">
        <v>570</v>
      </c>
      <c r="S89" s="19"/>
      <c r="T89" s="19" t="s">
        <v>54</v>
      </c>
      <c r="U89" s="19" t="s">
        <v>75</v>
      </c>
      <c r="V89" s="19" t="s">
        <v>101</v>
      </c>
      <c r="W89" s="19" t="s">
        <v>77</v>
      </c>
      <c r="X89" s="19"/>
      <c r="Y89" s="19"/>
      <c r="Z89" s="19" t="s">
        <v>571</v>
      </c>
      <c r="AA89" s="19">
        <v>1</v>
      </c>
      <c r="AB89" s="19">
        <v>1</v>
      </c>
      <c r="AC89" s="19" t="s">
        <v>60</v>
      </c>
      <c r="AD89" s="19" t="s">
        <v>72</v>
      </c>
      <c r="AE89" s="19" t="s">
        <v>420</v>
      </c>
      <c r="AF89" s="19"/>
    </row>
    <row r="90" spans="1:34" customHeight="1" ht="42">
      <c r="A90" s="19">
        <v>83</v>
      </c>
      <c r="B90" s="19" t="s">
        <v>420</v>
      </c>
      <c r="C90" s="19" t="s">
        <v>164</v>
      </c>
      <c r="D90" s="19" t="str">
        <f>HYPERLINK("http://www.henontech.com/fieldsafety/harzard/harzard_show.php?rid=1545&amp;url=harzardrecs.php","捣鼓上方煤仓腐蚀严重，一操作工行至下方时突然掉落，砸至该员工中上臂造成划伤出血。")</f>
        <v>捣鼓上方煤仓腐蚀严重，一操作工行至下方时突然掉落，砸至该员工中上臂造成划伤出血。</v>
      </c>
      <c r="E90" s="19" t="s">
        <v>572</v>
      </c>
      <c r="F90" s="20" t="s">
        <v>42</v>
      </c>
      <c r="G90" s="21" t="s">
        <v>43</v>
      </c>
      <c r="H90" s="19" t="s">
        <v>44</v>
      </c>
      <c r="I90" s="19" t="s">
        <v>45</v>
      </c>
      <c r="J90" s="19" t="s">
        <v>46</v>
      </c>
      <c r="K90" s="19" t="s">
        <v>69</v>
      </c>
      <c r="L90" s="19" t="s">
        <v>573</v>
      </c>
      <c r="M90" s="19" t="s">
        <v>117</v>
      </c>
      <c r="N90" s="19" t="s">
        <v>197</v>
      </c>
      <c r="O90" s="19" t="s">
        <v>117</v>
      </c>
      <c r="P90" s="19" t="s">
        <v>574</v>
      </c>
      <c r="Q90" s="19" t="s">
        <v>575</v>
      </c>
      <c r="R90" s="19" t="s">
        <v>576</v>
      </c>
      <c r="S90" s="19" t="s">
        <v>577</v>
      </c>
      <c r="T90" s="19" t="s">
        <v>54</v>
      </c>
      <c r="U90" s="19" t="s">
        <v>55</v>
      </c>
      <c r="V90" s="19" t="s">
        <v>56</v>
      </c>
      <c r="W90" s="19" t="s">
        <v>57</v>
      </c>
      <c r="X90" s="19" t="s">
        <v>58</v>
      </c>
      <c r="Y90" s="19"/>
      <c r="Z90" s="19" t="s">
        <v>578</v>
      </c>
      <c r="AA90" s="19">
        <v>2</v>
      </c>
      <c r="AB90" s="19">
        <v>2</v>
      </c>
      <c r="AC90" s="19" t="s">
        <v>60</v>
      </c>
      <c r="AD90" s="19" t="s">
        <v>574</v>
      </c>
      <c r="AE90" s="19" t="s">
        <v>79</v>
      </c>
      <c r="AF90" s="19"/>
    </row>
    <row r="91" spans="1:34">
      <c r="A91" s="19">
        <v>84</v>
      </c>
      <c r="B91" s="19" t="s">
        <v>420</v>
      </c>
      <c r="C91" s="19" t="s">
        <v>442</v>
      </c>
      <c r="D91" s="19" t="str">
        <f>HYPERLINK("http://www.henontech.com/fieldsafety/harzard/harzard_show.php?rid=1546&amp;url=harzardrecs.php","北脱硫换热器处竖梯底部腐蚀严重，操作人员在爬爬梯时会发生晃动，如果一名操作人员上下爬梯开关阀门时，爬梯晃动厉害，操作人员从爬梯摔落至地面，会造成操作人员左小腿骨折，送医治疗三个月后康复。")</f>
        <v>北脱硫换热器处竖梯底部腐蚀严重，操作人员在爬爬梯时会发生晃动，如果一名操作人员上下爬梯开关阀门时，爬梯晃动厉害，操作人员从爬梯摔落至地面，会造成操作人员左小腿骨折，送医治疗三个月后康复。</v>
      </c>
      <c r="E91" s="19" t="s">
        <v>579</v>
      </c>
      <c r="F91" s="20" t="s">
        <v>42</v>
      </c>
      <c r="G91" s="21" t="s">
        <v>43</v>
      </c>
      <c r="H91" s="19" t="s">
        <v>44</v>
      </c>
      <c r="I91" s="19" t="s">
        <v>83</v>
      </c>
      <c r="J91" s="19" t="s">
        <v>46</v>
      </c>
      <c r="K91" s="19" t="s">
        <v>69</v>
      </c>
      <c r="L91" s="19" t="s">
        <v>48</v>
      </c>
      <c r="M91" s="19" t="s">
        <v>70</v>
      </c>
      <c r="N91" s="19" t="s">
        <v>146</v>
      </c>
      <c r="O91" s="19" t="s">
        <v>70</v>
      </c>
      <c r="P91" s="19" t="s">
        <v>72</v>
      </c>
      <c r="Q91" s="19" t="s">
        <v>575</v>
      </c>
      <c r="R91" s="19" t="s">
        <v>580</v>
      </c>
      <c r="S91" s="19"/>
      <c r="T91" s="19" t="s">
        <v>54</v>
      </c>
      <c r="U91" s="19" t="s">
        <v>55</v>
      </c>
      <c r="V91" s="19" t="s">
        <v>56</v>
      </c>
      <c r="W91" s="19" t="s">
        <v>57</v>
      </c>
      <c r="X91" s="19"/>
      <c r="Y91" s="19"/>
      <c r="Z91" s="19" t="s">
        <v>581</v>
      </c>
      <c r="AA91" s="19">
        <v>1</v>
      </c>
      <c r="AB91" s="19">
        <v>1</v>
      </c>
      <c r="AC91" s="19" t="s">
        <v>60</v>
      </c>
      <c r="AD91" s="19" t="s">
        <v>72</v>
      </c>
      <c r="AE91" s="19" t="s">
        <v>495</v>
      </c>
      <c r="AF91" s="19"/>
    </row>
    <row r="92" spans="1:34">
      <c r="A92" s="19">
        <v>85</v>
      </c>
      <c r="B92" s="19" t="s">
        <v>582</v>
      </c>
      <c r="C92" s="19" t="s">
        <v>562</v>
      </c>
      <c r="D92" s="19" t="str">
        <f>HYPERLINK("http://www.henontech.com/fieldsafety/harzard/harzard_show.php?rid=1547&amp;url=harzardrecs.php","两名外来人员，在按装管道中，一名员工未系安全带，地面无人监护，在转身中不慎，从管道上摔下，造成腿部骨折，住院治疗3个月出院")</f>
        <v>两名外来人员，在按装管道中，一名员工未系安全带，地面无人监护，在转身中不慎，从管道上摔下，造成腿部骨折，住院治疗3个月出院</v>
      </c>
      <c r="E92" s="19" t="s">
        <v>583</v>
      </c>
      <c r="F92" s="20" t="s">
        <v>42</v>
      </c>
      <c r="G92" s="22" t="s">
        <v>66</v>
      </c>
      <c r="H92" s="19" t="s">
        <v>44</v>
      </c>
      <c r="I92" s="19" t="s">
        <v>45</v>
      </c>
      <c r="J92" s="19" t="s">
        <v>68</v>
      </c>
      <c r="K92" s="19" t="s">
        <v>69</v>
      </c>
      <c r="L92" s="19" t="s">
        <v>584</v>
      </c>
      <c r="M92" s="19" t="s">
        <v>70</v>
      </c>
      <c r="N92" s="19" t="s">
        <v>585</v>
      </c>
      <c r="O92" s="19" t="s">
        <v>70</v>
      </c>
      <c r="P92" s="19" t="s">
        <v>72</v>
      </c>
      <c r="Q92" s="19" t="s">
        <v>586</v>
      </c>
      <c r="R92" s="19" t="s">
        <v>587</v>
      </c>
      <c r="S92" s="19"/>
      <c r="T92" s="19" t="s">
        <v>54</v>
      </c>
      <c r="U92" s="19" t="s">
        <v>55</v>
      </c>
      <c r="V92" s="19" t="s">
        <v>56</v>
      </c>
      <c r="W92" s="19" t="s">
        <v>57</v>
      </c>
      <c r="X92" s="19"/>
      <c r="Y92" s="19"/>
      <c r="Z92" s="19" t="s">
        <v>588</v>
      </c>
      <c r="AA92" s="19">
        <v>1</v>
      </c>
      <c r="AB92" s="19">
        <v>1</v>
      </c>
      <c r="AC92" s="19" t="s">
        <v>60</v>
      </c>
      <c r="AD92" s="19" t="s">
        <v>72</v>
      </c>
      <c r="AE92" s="19" t="s">
        <v>582</v>
      </c>
      <c r="AF92" s="19"/>
    </row>
    <row r="93" spans="1:34">
      <c r="A93" s="19">
        <v>86</v>
      </c>
      <c r="B93" s="19" t="s">
        <v>582</v>
      </c>
      <c r="C93" s="19" t="s">
        <v>562</v>
      </c>
      <c r="D93" s="19" t="str">
        <f>HYPERLINK("http://www.henontech.com/fieldsafety/harzard/harzard_show.php?rid=1548&amp;url=harzardrecs.php","两名外来人员，在按装管道中，假如一名员工未系安全带，地面无人监护，在转身中不慎，从管道上摔下，造成腿部骨折，住院治疗3个月出院")</f>
        <v>两名外来人员，在按装管道中，假如一名员工未系安全带，地面无人监护，在转身中不慎，从管道上摔下，造成腿部骨折，住院治疗3个月出院</v>
      </c>
      <c r="E93" s="19" t="s">
        <v>583</v>
      </c>
      <c r="F93" s="24" t="s">
        <v>387</v>
      </c>
      <c r="G93" s="21" t="s">
        <v>43</v>
      </c>
      <c r="H93" s="19" t="s">
        <v>44</v>
      </c>
      <c r="I93" s="19" t="s">
        <v>45</v>
      </c>
      <c r="J93" s="19" t="s">
        <v>68</v>
      </c>
      <c r="K93" s="19" t="s">
        <v>69</v>
      </c>
      <c r="L93" s="19" t="s">
        <v>584</v>
      </c>
      <c r="M93" s="19" t="s">
        <v>70</v>
      </c>
      <c r="N93" s="19" t="s">
        <v>585</v>
      </c>
      <c r="O93" s="19"/>
      <c r="P93" s="19"/>
      <c r="Q93" s="19"/>
      <c r="R93" s="19" t="s">
        <v>587</v>
      </c>
      <c r="S93" s="19" t="s">
        <v>589</v>
      </c>
      <c r="T93" s="19" t="s">
        <v>54</v>
      </c>
      <c r="U93" s="19" t="s">
        <v>55</v>
      </c>
      <c r="V93" s="19" t="s">
        <v>56</v>
      </c>
      <c r="W93" s="19" t="s">
        <v>57</v>
      </c>
      <c r="X93" s="19"/>
      <c r="Y93" s="19"/>
      <c r="Z93" s="19"/>
      <c r="AA93" s="19">
        <v>0</v>
      </c>
      <c r="AB93" s="19"/>
      <c r="AC93" s="19" t="s">
        <v>392</v>
      </c>
      <c r="AD93" s="19"/>
      <c r="AE93" s="19"/>
      <c r="AF93" s="19"/>
    </row>
    <row r="94" spans="1:34">
      <c r="A94" s="19">
        <v>87</v>
      </c>
      <c r="B94" s="19" t="s">
        <v>582</v>
      </c>
      <c r="C94" s="19" t="s">
        <v>590</v>
      </c>
      <c r="D94" s="19" t="str">
        <f>HYPERLINK("http://www.henontech.com/fieldsafety/harzard/harzard_show.php?rid=1550&amp;url=harzardrecs.php","物流人员清理落地焦直冲下料口，若焦仓执行器失灵焦炭下落，导致人员烫伤")</f>
        <v>物流人员清理落地焦直冲下料口，若焦仓执行器失灵焦炭下落，导致人员烫伤</v>
      </c>
      <c r="E94" s="19" t="s">
        <v>591</v>
      </c>
      <c r="F94" s="24" t="s">
        <v>387</v>
      </c>
      <c r="G94" s="21" t="s">
        <v>43</v>
      </c>
      <c r="H94" s="19" t="s">
        <v>44</v>
      </c>
      <c r="I94" s="19" t="s">
        <v>83</v>
      </c>
      <c r="J94" s="19" t="s">
        <v>334</v>
      </c>
      <c r="K94" s="19" t="s">
        <v>69</v>
      </c>
      <c r="L94" s="19" t="s">
        <v>48</v>
      </c>
      <c r="M94" s="19" t="s">
        <v>117</v>
      </c>
      <c r="N94" s="19" t="s">
        <v>484</v>
      </c>
      <c r="O94" s="19"/>
      <c r="P94" s="19"/>
      <c r="Q94" s="19"/>
      <c r="R94" s="19" t="s">
        <v>592</v>
      </c>
      <c r="S94" s="19" t="s">
        <v>593</v>
      </c>
      <c r="T94" s="19" t="s">
        <v>54</v>
      </c>
      <c r="U94" s="19" t="s">
        <v>55</v>
      </c>
      <c r="V94" s="19" t="s">
        <v>56</v>
      </c>
      <c r="W94" s="19" t="s">
        <v>57</v>
      </c>
      <c r="X94" s="19"/>
      <c r="Y94" s="19"/>
      <c r="Z94" s="19"/>
      <c r="AA94" s="19">
        <v>0</v>
      </c>
      <c r="AB94" s="19"/>
      <c r="AC94" s="19" t="s">
        <v>392</v>
      </c>
      <c r="AD94" s="19"/>
      <c r="AE94" s="19"/>
      <c r="AF94" s="19"/>
    </row>
    <row r="95" spans="1:34" customHeight="1" ht="42">
      <c r="A95" s="19">
        <v>88</v>
      </c>
      <c r="B95" s="19" t="s">
        <v>582</v>
      </c>
      <c r="C95" s="19" t="s">
        <v>164</v>
      </c>
      <c r="D95" s="19" t="str">
        <f>HYPERLINK("http://www.henontech.com/fieldsafety/harzard/harzard_show.php?rid=1551&amp;url=harzardrecs.php","一操作工在巡检下楼梯时，由于视线差不慎跌落至地，造成脚部扭伤。")</f>
        <v>一操作工在巡检下楼梯时，由于视线差不慎跌落至地，造成脚部扭伤。</v>
      </c>
      <c r="E95" s="19" t="s">
        <v>594</v>
      </c>
      <c r="F95" s="20" t="s">
        <v>42</v>
      </c>
      <c r="G95" s="22" t="s">
        <v>66</v>
      </c>
      <c r="H95" s="19" t="s">
        <v>44</v>
      </c>
      <c r="I95" s="19" t="s">
        <v>45</v>
      </c>
      <c r="J95" s="19" t="s">
        <v>46</v>
      </c>
      <c r="K95" s="19" t="s">
        <v>145</v>
      </c>
      <c r="L95" s="19" t="s">
        <v>573</v>
      </c>
      <c r="M95" s="19" t="s">
        <v>117</v>
      </c>
      <c r="N95" s="19" t="s">
        <v>197</v>
      </c>
      <c r="O95" s="19" t="s">
        <v>117</v>
      </c>
      <c r="P95" s="19" t="s">
        <v>169</v>
      </c>
      <c r="Q95" s="19" t="s">
        <v>586</v>
      </c>
      <c r="R95" s="19" t="s">
        <v>595</v>
      </c>
      <c r="S95" s="19" t="s">
        <v>596</v>
      </c>
      <c r="T95" s="19" t="s">
        <v>54</v>
      </c>
      <c r="U95" s="19" t="s">
        <v>55</v>
      </c>
      <c r="V95" s="19" t="s">
        <v>56</v>
      </c>
      <c r="W95" s="19" t="s">
        <v>57</v>
      </c>
      <c r="X95" s="19" t="s">
        <v>123</v>
      </c>
      <c r="Y95" s="19"/>
      <c r="Z95" s="19" t="s">
        <v>597</v>
      </c>
      <c r="AA95" s="19">
        <v>2</v>
      </c>
      <c r="AB95" s="19">
        <v>2</v>
      </c>
      <c r="AC95" s="19" t="s">
        <v>60</v>
      </c>
      <c r="AD95" s="19" t="s">
        <v>169</v>
      </c>
      <c r="AE95" s="19" t="s">
        <v>79</v>
      </c>
      <c r="AF95" s="19"/>
    </row>
    <row r="96" spans="1:34">
      <c r="A96" s="19">
        <v>89</v>
      </c>
      <c r="B96" s="19" t="s">
        <v>582</v>
      </c>
      <c r="C96" s="19" t="s">
        <v>373</v>
      </c>
      <c r="D96" s="19" t="str">
        <f>HYPERLINK("http://www.henontech.com/fieldsafety/harzard/harzard_show.php?rid=1552&amp;url=harzardrecs.php","操作人员在清理卫生时，因地面有积水，不小心摔倒，造成右腿断裂，送医院救治，造成损工。")</f>
        <v>操作人员在清理卫生时，因地面有积水，不小心摔倒，造成右腿断裂，送医院救治，造成损工。</v>
      </c>
      <c r="E96" s="19" t="s">
        <v>598</v>
      </c>
      <c r="F96" s="24" t="s">
        <v>387</v>
      </c>
      <c r="G96" s="21" t="s">
        <v>43</v>
      </c>
      <c r="H96" s="19" t="s">
        <v>44</v>
      </c>
      <c r="I96" s="19" t="s">
        <v>83</v>
      </c>
      <c r="J96" s="19" t="s">
        <v>46</v>
      </c>
      <c r="K96" s="19" t="s">
        <v>69</v>
      </c>
      <c r="L96" s="19" t="s">
        <v>375</v>
      </c>
      <c r="M96" s="19" t="s">
        <v>117</v>
      </c>
      <c r="N96" s="19" t="s">
        <v>376</v>
      </c>
      <c r="O96" s="19"/>
      <c r="P96" s="19"/>
      <c r="Q96" s="19"/>
      <c r="R96" s="19" t="s">
        <v>599</v>
      </c>
      <c r="S96" s="19" t="s">
        <v>600</v>
      </c>
      <c r="T96" s="19" t="s">
        <v>54</v>
      </c>
      <c r="U96" s="19" t="s">
        <v>55</v>
      </c>
      <c r="V96" s="19" t="s">
        <v>56</v>
      </c>
      <c r="W96" s="19" t="s">
        <v>57</v>
      </c>
      <c r="X96" s="19"/>
      <c r="Y96" s="19"/>
      <c r="Z96" s="19"/>
      <c r="AA96" s="19">
        <v>0</v>
      </c>
      <c r="AB96" s="19"/>
      <c r="AC96" s="19" t="s">
        <v>392</v>
      </c>
      <c r="AD96" s="19"/>
      <c r="AE96" s="19"/>
      <c r="AF96" s="19"/>
    </row>
    <row r="97" spans="1:34" customHeight="1" ht="42">
      <c r="A97" s="19">
        <v>90</v>
      </c>
      <c r="B97" s="19" t="s">
        <v>582</v>
      </c>
      <c r="C97" s="19" t="s">
        <v>164</v>
      </c>
      <c r="D97" s="19" t="str">
        <f>HYPERLINK("http://www.henontech.com/fieldsafety/harzard/harzard_show.php?rid=1554&amp;url=harzardrecs.php","筛焦楼可逆带防护栏缺失，一操作工在清扫皮带卫生时被挤伤，造成手指骨折。")</f>
        <v>筛焦楼可逆带防护栏缺失，一操作工在清扫皮带卫生时被挤伤，造成手指骨折。</v>
      </c>
      <c r="E97" s="19" t="s">
        <v>601</v>
      </c>
      <c r="F97" s="20" t="s">
        <v>42</v>
      </c>
      <c r="G97" s="21" t="s">
        <v>43</v>
      </c>
      <c r="H97" s="19" t="s">
        <v>44</v>
      </c>
      <c r="I97" s="19" t="s">
        <v>83</v>
      </c>
      <c r="J97" s="19" t="s">
        <v>46</v>
      </c>
      <c r="K97" s="19" t="s">
        <v>166</v>
      </c>
      <c r="L97" s="19" t="s">
        <v>573</v>
      </c>
      <c r="M97" s="19" t="s">
        <v>117</v>
      </c>
      <c r="N97" s="19" t="s">
        <v>168</v>
      </c>
      <c r="O97" s="19" t="s">
        <v>117</v>
      </c>
      <c r="P97" s="19" t="s">
        <v>602</v>
      </c>
      <c r="Q97" s="19" t="s">
        <v>603</v>
      </c>
      <c r="R97" s="19" t="s">
        <v>171</v>
      </c>
      <c r="S97" s="19"/>
      <c r="T97" s="19" t="s">
        <v>54</v>
      </c>
      <c r="U97" s="19" t="s">
        <v>55</v>
      </c>
      <c r="V97" s="19" t="s">
        <v>56</v>
      </c>
      <c r="W97" s="19" t="s">
        <v>57</v>
      </c>
      <c r="X97" s="19" t="s">
        <v>235</v>
      </c>
      <c r="Y97" s="19" t="s">
        <v>235</v>
      </c>
      <c r="Z97" s="19" t="s">
        <v>604</v>
      </c>
      <c r="AA97" s="19">
        <v>2</v>
      </c>
      <c r="AB97" s="19">
        <v>2</v>
      </c>
      <c r="AC97" s="19" t="s">
        <v>60</v>
      </c>
      <c r="AD97" s="19" t="s">
        <v>602</v>
      </c>
      <c r="AE97" s="19" t="s">
        <v>79</v>
      </c>
      <c r="AF97" s="19"/>
    </row>
    <row r="98" spans="1:34" customHeight="1" ht="42">
      <c r="A98" s="19">
        <v>91</v>
      </c>
      <c r="B98" s="19" t="s">
        <v>258</v>
      </c>
      <c r="C98" s="19" t="s">
        <v>229</v>
      </c>
      <c r="D98" s="19" t="str">
        <f>HYPERLINK("http://www.henontech.com/fieldsafety/harzard/harzard_show.php?rid=1556&amp;url=harzardrecs.php","焦炉地下室南4#报警仪检测值比实际值大，误报警，造成人员警惕性降低，测换人员进入焦炉地下室操作时，煤气泄漏时习惯性认为是误报警，未采取防范措施，吸入过量煤气造成CO中毒晕倒")</f>
        <v>焦炉地下室南4#报警仪检测值比实际值大，误报警，造成人员警惕性降低，测换人员进入焦炉地下室操作时，煤气泄漏时习惯性认为是误报警，未采取防范措施，吸入过量煤气造成CO中毒晕倒</v>
      </c>
      <c r="E98" s="19" t="s">
        <v>605</v>
      </c>
      <c r="F98" s="20" t="s">
        <v>42</v>
      </c>
      <c r="G98" s="23" t="s">
        <v>231</v>
      </c>
      <c r="H98" s="19" t="s">
        <v>44</v>
      </c>
      <c r="I98" s="19"/>
      <c r="J98" s="19" t="s">
        <v>46</v>
      </c>
      <c r="K98" s="19"/>
      <c r="L98" s="19" t="s">
        <v>48</v>
      </c>
      <c r="M98" s="19" t="s">
        <v>117</v>
      </c>
      <c r="N98" s="19" t="s">
        <v>119</v>
      </c>
      <c r="O98" s="19" t="s">
        <v>117</v>
      </c>
      <c r="P98" s="19" t="s">
        <v>169</v>
      </c>
      <c r="Q98" s="19" t="s">
        <v>586</v>
      </c>
      <c r="R98" s="19" t="s">
        <v>229</v>
      </c>
      <c r="S98" s="19"/>
      <c r="T98" s="19" t="s">
        <v>54</v>
      </c>
      <c r="U98" s="19" t="s">
        <v>121</v>
      </c>
      <c r="V98" s="19" t="s">
        <v>101</v>
      </c>
      <c r="W98" s="19" t="s">
        <v>57</v>
      </c>
      <c r="X98" s="19" t="s">
        <v>123</v>
      </c>
      <c r="Y98" s="19"/>
      <c r="Z98" s="19" t="s">
        <v>606</v>
      </c>
      <c r="AA98" s="19">
        <v>2</v>
      </c>
      <c r="AB98" s="19">
        <v>2</v>
      </c>
      <c r="AC98" s="19" t="s">
        <v>60</v>
      </c>
      <c r="AD98" s="19" t="s">
        <v>169</v>
      </c>
      <c r="AE98" s="19" t="s">
        <v>79</v>
      </c>
      <c r="AF98" s="19"/>
    </row>
    <row r="99" spans="1:34">
      <c r="A99" s="19">
        <v>92</v>
      </c>
      <c r="B99" s="19" t="s">
        <v>258</v>
      </c>
      <c r="C99" s="19" t="s">
        <v>278</v>
      </c>
      <c r="D99" s="19" t="str">
        <f>HYPERLINK("http://www.henontech.com/fieldsafety/harzard/harzard_show.php?rid=1557&amp;url=harzardrecs.php","路中间一段钢筋高出地面，操作人员经过时未注意脚下，被绊了一下，身体不稳，左手磕到墙上，造成左手掌擦伤破皮，有血痕，用碘伏消毒清理，简单包扎后继续工作。")</f>
        <v>路中间一段钢筋高出地面，操作人员经过时未注意脚下，被绊了一下，身体不稳，左手磕到墙上，造成左手掌擦伤破皮，有血痕，用碘伏消毒清理，简单包扎后继续工作。</v>
      </c>
      <c r="E99" s="19" t="s">
        <v>607</v>
      </c>
      <c r="F99" s="20" t="s">
        <v>42</v>
      </c>
      <c r="G99" s="21" t="s">
        <v>43</v>
      </c>
      <c r="H99" s="19" t="s">
        <v>44</v>
      </c>
      <c r="I99" s="19"/>
      <c r="J99" s="19" t="s">
        <v>334</v>
      </c>
      <c r="K99" s="19" t="s">
        <v>69</v>
      </c>
      <c r="L99" s="19"/>
      <c r="M99" s="19" t="s">
        <v>49</v>
      </c>
      <c r="N99" s="19" t="s">
        <v>360</v>
      </c>
      <c r="O99" s="19" t="s">
        <v>49</v>
      </c>
      <c r="P99" s="19" t="s">
        <v>523</v>
      </c>
      <c r="Q99" s="19" t="s">
        <v>608</v>
      </c>
      <c r="R99" s="19" t="s">
        <v>609</v>
      </c>
      <c r="S99" s="19"/>
      <c r="T99" s="19" t="s">
        <v>54</v>
      </c>
      <c r="U99" s="19" t="s">
        <v>192</v>
      </c>
      <c r="V99" s="19" t="s">
        <v>271</v>
      </c>
      <c r="W99" s="19" t="s">
        <v>77</v>
      </c>
      <c r="X99" s="19" t="s">
        <v>58</v>
      </c>
      <c r="Y99" s="19" t="s">
        <v>58</v>
      </c>
      <c r="Z99" s="19" t="s">
        <v>610</v>
      </c>
      <c r="AA99" s="19">
        <v>1</v>
      </c>
      <c r="AB99" s="19">
        <v>1</v>
      </c>
      <c r="AC99" s="19" t="s">
        <v>60</v>
      </c>
      <c r="AD99" s="19" t="s">
        <v>523</v>
      </c>
      <c r="AE99" s="19" t="s">
        <v>190</v>
      </c>
      <c r="AF99" s="19" t="s">
        <v>62</v>
      </c>
    </row>
    <row r="100" spans="1:34" customHeight="1" ht="42">
      <c r="A100" s="19">
        <v>93</v>
      </c>
      <c r="B100" s="19" t="s">
        <v>611</v>
      </c>
      <c r="C100" s="19" t="s">
        <v>164</v>
      </c>
      <c r="D100" s="19" t="str">
        <f>HYPERLINK("http://www.henontech.com/fieldsafety/harzard/harzard_show.php?rid=1558&amp;url=harzardrecs.php","一维修人员检修煤气管电动执行器时，失足跌入水沟，扭伤脚裸，住院治疗。")</f>
        <v>一维修人员检修煤气管电动执行器时，失足跌入水沟，扭伤脚裸，住院治疗。</v>
      </c>
      <c r="E100" s="19" t="s">
        <v>612</v>
      </c>
      <c r="F100" s="20" t="s">
        <v>42</v>
      </c>
      <c r="G100" s="21" t="s">
        <v>43</v>
      </c>
      <c r="H100" s="19" t="s">
        <v>44</v>
      </c>
      <c r="I100" s="19" t="s">
        <v>45</v>
      </c>
      <c r="J100" s="19" t="s">
        <v>46</v>
      </c>
      <c r="K100" s="19" t="s">
        <v>145</v>
      </c>
      <c r="L100" s="19" t="s">
        <v>167</v>
      </c>
      <c r="M100" s="19" t="s">
        <v>117</v>
      </c>
      <c r="N100" s="19" t="s">
        <v>602</v>
      </c>
      <c r="O100" s="19" t="s">
        <v>117</v>
      </c>
      <c r="P100" s="19" t="s">
        <v>274</v>
      </c>
      <c r="Q100" s="19" t="s">
        <v>603</v>
      </c>
      <c r="R100" s="19" t="s">
        <v>613</v>
      </c>
      <c r="S100" s="19"/>
      <c r="T100" s="19" t="s">
        <v>54</v>
      </c>
      <c r="U100" s="19" t="s">
        <v>75</v>
      </c>
      <c r="V100" s="19" t="s">
        <v>56</v>
      </c>
      <c r="W100" s="19" t="s">
        <v>138</v>
      </c>
      <c r="X100" s="19" t="s">
        <v>235</v>
      </c>
      <c r="Y100" s="19" t="s">
        <v>235</v>
      </c>
      <c r="Z100" s="19" t="s">
        <v>614</v>
      </c>
      <c r="AA100" s="19">
        <v>2</v>
      </c>
      <c r="AB100" s="19">
        <v>2</v>
      </c>
      <c r="AC100" s="19" t="s">
        <v>60</v>
      </c>
      <c r="AD100" s="19" t="s">
        <v>274</v>
      </c>
      <c r="AE100" s="19" t="s">
        <v>569</v>
      </c>
      <c r="AF100" s="19"/>
    </row>
    <row r="101" spans="1:34" customHeight="1" ht="42">
      <c r="A101" s="19">
        <v>94</v>
      </c>
      <c r="B101" s="19" t="s">
        <v>611</v>
      </c>
      <c r="C101" s="19" t="s">
        <v>284</v>
      </c>
      <c r="D101" s="19" t="str">
        <f>HYPERLINK("http://www.henontech.com/fieldsafety/harzard/harzard_show.php?rid=1559&amp;url=harzardrecs.php","西一三号给料机底部行走轮的一边脱落，一操作人员在此处清理卫生时，砸伤脚部，造成骨折，住院三天，在家休养一个月。")</f>
        <v>西一三号给料机底部行走轮的一边脱落，一操作人员在此处清理卫生时，砸伤脚部，造成骨折，住院三天，在家休养一个月。</v>
      </c>
      <c r="E101" s="19" t="s">
        <v>615</v>
      </c>
      <c r="F101" s="20" t="s">
        <v>42</v>
      </c>
      <c r="G101" s="21" t="s">
        <v>43</v>
      </c>
      <c r="H101" s="19" t="s">
        <v>44</v>
      </c>
      <c r="I101" s="19" t="s">
        <v>67</v>
      </c>
      <c r="J101" s="19" t="s">
        <v>401</v>
      </c>
      <c r="K101" s="19" t="s">
        <v>47</v>
      </c>
      <c r="L101" s="19" t="s">
        <v>48</v>
      </c>
      <c r="M101" s="19" t="s">
        <v>285</v>
      </c>
      <c r="N101" s="19" t="s">
        <v>616</v>
      </c>
      <c r="O101" s="19" t="s">
        <v>285</v>
      </c>
      <c r="P101" s="19" t="s">
        <v>617</v>
      </c>
      <c r="Q101" s="19" t="s">
        <v>608</v>
      </c>
      <c r="R101" s="19" t="s">
        <v>618</v>
      </c>
      <c r="S101" s="19" t="s">
        <v>619</v>
      </c>
      <c r="T101" s="19" t="s">
        <v>54</v>
      </c>
      <c r="U101" s="19" t="s">
        <v>75</v>
      </c>
      <c r="V101" s="19" t="s">
        <v>101</v>
      </c>
      <c r="W101" s="19" t="s">
        <v>77</v>
      </c>
      <c r="X101" s="19" t="s">
        <v>58</v>
      </c>
      <c r="Y101" s="19" t="s">
        <v>58</v>
      </c>
      <c r="Z101" s="19" t="s">
        <v>620</v>
      </c>
      <c r="AA101" s="19">
        <v>2</v>
      </c>
      <c r="AB101" s="19">
        <v>2</v>
      </c>
      <c r="AC101" s="19" t="s">
        <v>60</v>
      </c>
      <c r="AD101" s="19" t="s">
        <v>617</v>
      </c>
      <c r="AE101" s="19" t="s">
        <v>611</v>
      </c>
      <c r="AF101" s="19" t="s">
        <v>621</v>
      </c>
    </row>
    <row r="102" spans="1:34" customHeight="1" ht="42">
      <c r="A102" s="19">
        <v>95</v>
      </c>
      <c r="B102" s="19" t="s">
        <v>611</v>
      </c>
      <c r="C102" s="19" t="s">
        <v>284</v>
      </c>
      <c r="D102" s="19" t="str">
        <f>HYPERLINK("http://www.henontech.com/fieldsafety/harzard/harzard_show.php?rid=1560&amp;url=harzardrecs.php","西一斜桥东边彩钢瓦腐蚀脱落，一操作工行至此处，造成肩部砸伤，在家休养三天。")</f>
        <v>西一斜桥东边彩钢瓦腐蚀脱落，一操作工行至此处，造成肩部砸伤，在家休养三天。</v>
      </c>
      <c r="E102" s="19" t="s">
        <v>622</v>
      </c>
      <c r="F102" s="20" t="s">
        <v>42</v>
      </c>
      <c r="G102" s="21" t="s">
        <v>43</v>
      </c>
      <c r="H102" s="19" t="s">
        <v>44</v>
      </c>
      <c r="I102" s="19" t="s">
        <v>67</v>
      </c>
      <c r="J102" s="19" t="s">
        <v>401</v>
      </c>
      <c r="K102" s="19" t="s">
        <v>47</v>
      </c>
      <c r="L102" s="19" t="s">
        <v>48</v>
      </c>
      <c r="M102" s="19" t="s">
        <v>285</v>
      </c>
      <c r="N102" s="19" t="s">
        <v>623</v>
      </c>
      <c r="O102" s="19" t="s">
        <v>285</v>
      </c>
      <c r="P102" s="19" t="s">
        <v>617</v>
      </c>
      <c r="Q102" s="19" t="s">
        <v>608</v>
      </c>
      <c r="R102" s="19" t="s">
        <v>624</v>
      </c>
      <c r="S102" s="19" t="s">
        <v>625</v>
      </c>
      <c r="T102" s="19" t="s">
        <v>54</v>
      </c>
      <c r="U102" s="19" t="s">
        <v>75</v>
      </c>
      <c r="V102" s="19" t="s">
        <v>56</v>
      </c>
      <c r="W102" s="19" t="s">
        <v>138</v>
      </c>
      <c r="X102" s="19" t="s">
        <v>123</v>
      </c>
      <c r="Y102" s="19" t="s">
        <v>123</v>
      </c>
      <c r="Z102" s="19" t="s">
        <v>626</v>
      </c>
      <c r="AA102" s="19">
        <v>2</v>
      </c>
      <c r="AB102" s="19">
        <v>2</v>
      </c>
      <c r="AC102" s="19" t="s">
        <v>60</v>
      </c>
      <c r="AD102" s="19" t="s">
        <v>617</v>
      </c>
      <c r="AE102" s="19" t="s">
        <v>611</v>
      </c>
      <c r="AF102" s="19" t="s">
        <v>627</v>
      </c>
    </row>
    <row r="103" spans="1:34" customHeight="1" ht="42">
      <c r="A103" s="19">
        <v>96</v>
      </c>
      <c r="B103" s="19" t="s">
        <v>79</v>
      </c>
      <c r="C103" s="19" t="s">
        <v>373</v>
      </c>
      <c r="D103" s="19" t="str">
        <f>HYPERLINK("http://www.henontech.com/fieldsafety/harzard/harzard_show.php?rid=1564&amp;url=harzardrecs.php","操作人员在清理卫生时，因地面有积水，不小心摔倒，造成右腿断裂，送医院救治，造成损工。")</f>
        <v>操作人员在清理卫生时，因地面有积水，不小心摔倒，造成右腿断裂，送医院救治，造成损工。</v>
      </c>
      <c r="E103" s="19" t="s">
        <v>628</v>
      </c>
      <c r="F103" s="20" t="s">
        <v>42</v>
      </c>
      <c r="G103" s="21" t="s">
        <v>43</v>
      </c>
      <c r="H103" s="19" t="s">
        <v>44</v>
      </c>
      <c r="I103" s="19" t="s">
        <v>83</v>
      </c>
      <c r="J103" s="19" t="s">
        <v>46</v>
      </c>
      <c r="K103" s="19" t="s">
        <v>69</v>
      </c>
      <c r="L103" s="19" t="s">
        <v>375</v>
      </c>
      <c r="M103" s="19" t="s">
        <v>117</v>
      </c>
      <c r="N103" s="19" t="s">
        <v>376</v>
      </c>
      <c r="O103" s="19" t="s">
        <v>117</v>
      </c>
      <c r="P103" s="19" t="s">
        <v>118</v>
      </c>
      <c r="Q103" s="19" t="s">
        <v>603</v>
      </c>
      <c r="R103" s="19" t="s">
        <v>599</v>
      </c>
      <c r="S103" s="19"/>
      <c r="T103" s="19" t="s">
        <v>54</v>
      </c>
      <c r="U103" s="19" t="s">
        <v>55</v>
      </c>
      <c r="V103" s="19" t="s">
        <v>56</v>
      </c>
      <c r="W103" s="19" t="s">
        <v>57</v>
      </c>
      <c r="X103" s="19" t="s">
        <v>235</v>
      </c>
      <c r="Y103" s="19" t="s">
        <v>235</v>
      </c>
      <c r="Z103" s="19" t="s">
        <v>629</v>
      </c>
      <c r="AA103" s="19">
        <v>2</v>
      </c>
      <c r="AB103" s="19">
        <v>0</v>
      </c>
      <c r="AC103" s="19" t="s">
        <v>60</v>
      </c>
      <c r="AD103" s="19" t="s">
        <v>118</v>
      </c>
      <c r="AE103" s="19" t="s">
        <v>406</v>
      </c>
      <c r="AF103" s="19" t="s">
        <v>630</v>
      </c>
    </row>
    <row r="104" spans="1:34">
      <c r="A104" s="19">
        <v>97</v>
      </c>
      <c r="B104" s="19" t="s">
        <v>79</v>
      </c>
      <c r="C104" s="19" t="s">
        <v>70</v>
      </c>
      <c r="D104" s="19" t="str">
        <f>HYPERLINK("http://www.henontech.com/fieldsafety/harzard/harzard_show.php?rid=1565&amp;url=harzardrecs.php","东硫铵废水外排处小井临时接一台潜水泵使用，但电源线接头处仅用绝缘胶带包扎未做防水处理，假设下雨的话电缆接头浸泡到水中会造成电源短路跳闸")</f>
        <v>东硫铵废水外排处小井临时接一台潜水泵使用，但电源线接头处仅用绝缘胶带包扎未做防水处理，假设下雨的话电缆接头浸泡到水中会造成电源短路跳闸</v>
      </c>
      <c r="E104" s="19" t="s">
        <v>631</v>
      </c>
      <c r="F104" s="20" t="s">
        <v>42</v>
      </c>
      <c r="G104" s="21" t="s">
        <v>43</v>
      </c>
      <c r="H104" s="19" t="s">
        <v>44</v>
      </c>
      <c r="I104" s="19"/>
      <c r="J104" s="19" t="s">
        <v>68</v>
      </c>
      <c r="K104" s="19" t="s">
        <v>69</v>
      </c>
      <c r="L104" s="19" t="s">
        <v>48</v>
      </c>
      <c r="M104" s="19" t="s">
        <v>70</v>
      </c>
      <c r="N104" s="19" t="s">
        <v>71</v>
      </c>
      <c r="O104" s="19" t="s">
        <v>70</v>
      </c>
      <c r="P104" s="19" t="s">
        <v>72</v>
      </c>
      <c r="Q104" s="19" t="s">
        <v>603</v>
      </c>
      <c r="R104" s="19" t="s">
        <v>632</v>
      </c>
      <c r="S104" s="19"/>
      <c r="T104" s="19" t="s">
        <v>270</v>
      </c>
      <c r="U104" s="19" t="s">
        <v>192</v>
      </c>
      <c r="V104" s="19" t="s">
        <v>101</v>
      </c>
      <c r="W104" s="19" t="s">
        <v>77</v>
      </c>
      <c r="X104" s="19"/>
      <c r="Y104" s="19"/>
      <c r="Z104" s="19" t="s">
        <v>633</v>
      </c>
      <c r="AA104" s="19">
        <v>1</v>
      </c>
      <c r="AB104" s="19">
        <v>1</v>
      </c>
      <c r="AC104" s="19" t="s">
        <v>60</v>
      </c>
      <c r="AD104" s="19" t="s">
        <v>72</v>
      </c>
      <c r="AE104" s="19" t="s">
        <v>79</v>
      </c>
      <c r="AF104" s="19"/>
    </row>
    <row r="105" spans="1:34" customHeight="1" ht="42">
      <c r="A105" s="19">
        <v>98</v>
      </c>
      <c r="B105" s="19" t="s">
        <v>79</v>
      </c>
      <c r="C105" s="19" t="s">
        <v>115</v>
      </c>
      <c r="D105" s="19" t="str">
        <f>HYPERLINK("http://www.henontech.com/fieldsafety/harzard/harzard_show.php?rid=1568&amp;url=harzardrecs.php","人员站在炉门斜铁上一只手堵烟，另一只手抓炉门连杆，由于斜铁上残留少量煤粉，脚下踩滑，人员一只手未抓牢连杆，从平台上跌落，头部虽带着安全帽但受到撞击后昏迷，送医院抢救后苏醒，诊断为轻微脑震荡，住院一星期")</f>
        <v>人员站在炉门斜铁上一只手堵烟，另一只手抓炉门连杆，由于斜铁上残留少量煤粉，脚下踩滑，人员一只手未抓牢连杆，从平台上跌落，头部虽带着安全帽但受到撞击后昏迷，送医院抢救后苏醒，诊断为轻微脑震荡，住院一星期</v>
      </c>
      <c r="E105" s="19" t="s">
        <v>634</v>
      </c>
      <c r="F105" s="20" t="s">
        <v>42</v>
      </c>
      <c r="G105" s="21" t="s">
        <v>43</v>
      </c>
      <c r="H105" s="19" t="s">
        <v>44</v>
      </c>
      <c r="I105" s="19" t="s">
        <v>83</v>
      </c>
      <c r="J105" s="19" t="s">
        <v>334</v>
      </c>
      <c r="K105" s="19" t="s">
        <v>69</v>
      </c>
      <c r="L105" s="19" t="s">
        <v>167</v>
      </c>
      <c r="M105" s="19" t="s">
        <v>117</v>
      </c>
      <c r="N105" s="19" t="s">
        <v>635</v>
      </c>
      <c r="O105" s="19" t="s">
        <v>117</v>
      </c>
      <c r="P105" s="19" t="s">
        <v>636</v>
      </c>
      <c r="Q105" s="19" t="s">
        <v>637</v>
      </c>
      <c r="R105" s="19" t="s">
        <v>638</v>
      </c>
      <c r="S105" s="19"/>
      <c r="T105" s="19" t="s">
        <v>54</v>
      </c>
      <c r="U105" s="19" t="s">
        <v>55</v>
      </c>
      <c r="V105" s="19" t="s">
        <v>56</v>
      </c>
      <c r="W105" s="19" t="s">
        <v>57</v>
      </c>
      <c r="X105" s="19" t="s">
        <v>226</v>
      </c>
      <c r="Y105" s="19" t="s">
        <v>226</v>
      </c>
      <c r="Z105" s="19" t="s">
        <v>639</v>
      </c>
      <c r="AA105" s="19">
        <v>2</v>
      </c>
      <c r="AB105" s="19">
        <v>2</v>
      </c>
      <c r="AC105" s="19" t="s">
        <v>60</v>
      </c>
      <c r="AD105" s="19" t="s">
        <v>636</v>
      </c>
      <c r="AE105" s="19" t="s">
        <v>406</v>
      </c>
      <c r="AF105" s="19" t="s">
        <v>640</v>
      </c>
    </row>
    <row r="106" spans="1:34">
      <c r="A106" s="19">
        <v>99</v>
      </c>
      <c r="B106" s="19" t="s">
        <v>79</v>
      </c>
      <c r="C106" s="19" t="s">
        <v>284</v>
      </c>
      <c r="D106" s="19" t="str">
        <f>HYPERLINK("http://www.henontech.com/fieldsafety/harzard/harzard_show.php?rid=1569&amp;url=harzardrecs.php","无防雨罩，下雨可能漏电")</f>
        <v>无防雨罩，下雨可能漏电</v>
      </c>
      <c r="E106" s="19" t="s">
        <v>641</v>
      </c>
      <c r="F106" s="20" t="s">
        <v>42</v>
      </c>
      <c r="G106" s="21" t="s">
        <v>43</v>
      </c>
      <c r="H106" s="19" t="s">
        <v>44</v>
      </c>
      <c r="I106" s="19"/>
      <c r="J106" s="19" t="s">
        <v>46</v>
      </c>
      <c r="K106" s="19"/>
      <c r="L106" s="19"/>
      <c r="M106" s="19" t="s">
        <v>285</v>
      </c>
      <c r="N106" s="19" t="s">
        <v>642</v>
      </c>
      <c r="O106" s="19" t="s">
        <v>285</v>
      </c>
      <c r="P106" s="19" t="s">
        <v>642</v>
      </c>
      <c r="Q106" s="19" t="s">
        <v>190</v>
      </c>
      <c r="R106" s="19" t="s">
        <v>643</v>
      </c>
      <c r="S106" s="19"/>
      <c r="T106" s="19" t="s">
        <v>54</v>
      </c>
      <c r="U106" s="19" t="s">
        <v>75</v>
      </c>
      <c r="V106" s="19" t="s">
        <v>56</v>
      </c>
      <c r="W106" s="19" t="s">
        <v>138</v>
      </c>
      <c r="X106" s="19"/>
      <c r="Y106" s="19"/>
      <c r="Z106" s="19" t="s">
        <v>644</v>
      </c>
      <c r="AA106" s="19">
        <v>1</v>
      </c>
      <c r="AB106" s="19">
        <v>1</v>
      </c>
      <c r="AC106" s="19" t="s">
        <v>60</v>
      </c>
      <c r="AD106" s="19" t="s">
        <v>642</v>
      </c>
      <c r="AE106" s="19" t="s">
        <v>88</v>
      </c>
      <c r="AF106" s="19" t="s">
        <v>645</v>
      </c>
    </row>
    <row r="107" spans="1:34">
      <c r="A107" s="19">
        <v>100</v>
      </c>
      <c r="B107" s="19" t="s">
        <v>79</v>
      </c>
      <c r="C107" s="19" t="s">
        <v>632</v>
      </c>
      <c r="D107" s="19" t="str">
        <f>HYPERLINK("http://www.henontech.com/fieldsafety/harzard/harzard_show.php?rid=1570&amp;url=harzardrecs.php","提升倒链吊钩安全舌脱落，提升设备时，安全舌不在其位，造成安全绳脱落，设备损坏，财产损失！")</f>
        <v>提升倒链吊钩安全舌脱落，提升设备时，安全舌不在其位，造成安全绳脱落，设备损坏，财产损失！</v>
      </c>
      <c r="E107" s="19" t="s">
        <v>646</v>
      </c>
      <c r="F107" s="20" t="s">
        <v>42</v>
      </c>
      <c r="G107" s="21" t="s">
        <v>43</v>
      </c>
      <c r="H107" s="19" t="s">
        <v>44</v>
      </c>
      <c r="I107" s="19" t="s">
        <v>67</v>
      </c>
      <c r="J107" s="19" t="s">
        <v>46</v>
      </c>
      <c r="K107" s="19" t="s">
        <v>145</v>
      </c>
      <c r="L107" s="19" t="s">
        <v>48</v>
      </c>
      <c r="M107" s="19" t="s">
        <v>70</v>
      </c>
      <c r="N107" s="19" t="s">
        <v>425</v>
      </c>
      <c r="O107" s="19" t="s">
        <v>70</v>
      </c>
      <c r="P107" s="19" t="s">
        <v>72</v>
      </c>
      <c r="Q107" s="19" t="s">
        <v>647</v>
      </c>
      <c r="R107" s="19" t="s">
        <v>648</v>
      </c>
      <c r="S107" s="19" t="s">
        <v>649</v>
      </c>
      <c r="T107" s="19" t="s">
        <v>100</v>
      </c>
      <c r="U107" s="19" t="s">
        <v>192</v>
      </c>
      <c r="V107" s="19" t="s">
        <v>56</v>
      </c>
      <c r="W107" s="19" t="s">
        <v>77</v>
      </c>
      <c r="X107" s="19"/>
      <c r="Y107" s="19"/>
      <c r="Z107" s="19" t="s">
        <v>650</v>
      </c>
      <c r="AA107" s="19">
        <v>1</v>
      </c>
      <c r="AB107" s="19">
        <v>1</v>
      </c>
      <c r="AC107" s="19" t="s">
        <v>60</v>
      </c>
      <c r="AD107" s="19" t="s">
        <v>72</v>
      </c>
      <c r="AE107" s="19" t="s">
        <v>88</v>
      </c>
      <c r="AF107" s="19"/>
    </row>
    <row r="108" spans="1:34">
      <c r="A108" s="19">
        <v>101</v>
      </c>
      <c r="B108" s="19" t="s">
        <v>79</v>
      </c>
      <c r="C108" s="19" t="s">
        <v>507</v>
      </c>
      <c r="D108" s="19" t="str">
        <f>HYPERLINK("http://www.henontech.com/fieldsafety/harzard/harzard_show.php?rid=1571&amp;url=harzardrecs.php","彩钢房顶因长时间雨水跟环境的影响造成腐蚀，假如一名操作工在巡查岗位时，部分腐蚀的碎片掉落下来，肩部轻微造成伤害。")</f>
        <v>彩钢房顶因长时间雨水跟环境的影响造成腐蚀，假如一名操作工在巡查岗位时，部分腐蚀的碎片掉落下来，肩部轻微造成伤害。</v>
      </c>
      <c r="E108" s="19" t="s">
        <v>651</v>
      </c>
      <c r="F108" s="20" t="s">
        <v>42</v>
      </c>
      <c r="G108" s="21" t="s">
        <v>43</v>
      </c>
      <c r="H108" s="19" t="s">
        <v>44</v>
      </c>
      <c r="I108" s="19" t="s">
        <v>45</v>
      </c>
      <c r="J108" s="19"/>
      <c r="K108" s="19" t="s">
        <v>209</v>
      </c>
      <c r="L108" s="19" t="s">
        <v>48</v>
      </c>
      <c r="M108" s="19" t="s">
        <v>70</v>
      </c>
      <c r="N108" s="19" t="s">
        <v>652</v>
      </c>
      <c r="O108" s="19" t="s">
        <v>70</v>
      </c>
      <c r="P108" s="19" t="s">
        <v>72</v>
      </c>
      <c r="Q108" s="19" t="s">
        <v>603</v>
      </c>
      <c r="R108" s="19" t="s">
        <v>653</v>
      </c>
      <c r="S108" s="19"/>
      <c r="T108" s="19" t="s">
        <v>54</v>
      </c>
      <c r="U108" s="19" t="s">
        <v>55</v>
      </c>
      <c r="V108" s="19" t="s">
        <v>101</v>
      </c>
      <c r="W108" s="19" t="s">
        <v>138</v>
      </c>
      <c r="X108" s="19"/>
      <c r="Y108" s="19"/>
      <c r="Z108" s="19" t="s">
        <v>654</v>
      </c>
      <c r="AA108" s="19">
        <v>1</v>
      </c>
      <c r="AB108" s="19">
        <v>1</v>
      </c>
      <c r="AC108" s="19" t="s">
        <v>60</v>
      </c>
      <c r="AD108" s="19" t="s">
        <v>72</v>
      </c>
      <c r="AE108" s="19" t="s">
        <v>655</v>
      </c>
      <c r="AF108" s="19"/>
    </row>
    <row r="109" spans="1:34" customHeight="1" ht="42">
      <c r="A109" s="19">
        <v>102</v>
      </c>
      <c r="B109" s="19" t="s">
        <v>88</v>
      </c>
      <c r="C109" s="19" t="s">
        <v>115</v>
      </c>
      <c r="D109" s="19" t="str">
        <f>HYPERLINK("http://www.henontech.com/fieldsafety/harzard/harzard_show.php?rid=1572&amp;url=harzardrecs.php","4.3米焦炉一名操作工到脱硝抑尘工段主风机巡检，因爬梯未固定，上下爬梯时，爬梯下滑，人员从爬梯上摔落，导致左手手臂骨折，住院治疗20天，回家休养3个月。")</f>
        <v>4.3米焦炉一名操作工到脱硝抑尘工段主风机巡检，因爬梯未固定，上下爬梯时，爬梯下滑，人员从爬梯上摔落，导致左手手臂骨折，住院治疗20天，回家休养3个月。</v>
      </c>
      <c r="E109" s="19" t="s">
        <v>656</v>
      </c>
      <c r="F109" s="20" t="s">
        <v>42</v>
      </c>
      <c r="G109" s="21" t="s">
        <v>43</v>
      </c>
      <c r="H109" s="19" t="s">
        <v>44</v>
      </c>
      <c r="I109" s="19" t="s">
        <v>83</v>
      </c>
      <c r="J109" s="19" t="s">
        <v>46</v>
      </c>
      <c r="K109" s="19" t="s">
        <v>69</v>
      </c>
      <c r="L109" s="19"/>
      <c r="M109" s="19" t="s">
        <v>117</v>
      </c>
      <c r="N109" s="19" t="s">
        <v>118</v>
      </c>
      <c r="O109" s="19" t="s">
        <v>117</v>
      </c>
      <c r="P109" s="19" t="s">
        <v>636</v>
      </c>
      <c r="Q109" s="19" t="s">
        <v>637</v>
      </c>
      <c r="R109" s="19" t="s">
        <v>657</v>
      </c>
      <c r="S109" s="19"/>
      <c r="T109" s="19" t="s">
        <v>54</v>
      </c>
      <c r="U109" s="19" t="s">
        <v>55</v>
      </c>
      <c r="V109" s="19" t="s">
        <v>271</v>
      </c>
      <c r="W109" s="19" t="s">
        <v>122</v>
      </c>
      <c r="X109" s="19" t="s">
        <v>235</v>
      </c>
      <c r="Y109" s="19" t="s">
        <v>235</v>
      </c>
      <c r="Z109" s="19" t="s">
        <v>658</v>
      </c>
      <c r="AA109" s="19">
        <v>2</v>
      </c>
      <c r="AB109" s="19">
        <v>2</v>
      </c>
      <c r="AC109" s="19" t="s">
        <v>60</v>
      </c>
      <c r="AD109" s="19" t="s">
        <v>636</v>
      </c>
      <c r="AE109" s="19" t="s">
        <v>406</v>
      </c>
      <c r="AF109" s="19" t="s">
        <v>640</v>
      </c>
    </row>
    <row r="110" spans="1:34" customHeight="1" ht="42">
      <c r="A110" s="19">
        <v>103</v>
      </c>
      <c r="B110" s="19" t="s">
        <v>88</v>
      </c>
      <c r="C110" s="19" t="s">
        <v>659</v>
      </c>
      <c r="D110" s="19" t="str">
        <f>HYPERLINK("http://www.henontech.com/fieldsafety/harzard/harzard_show.php?rid=1573&amp;url=harzardrecs.php","巡检工巡检污水井水位时由于对井篦子腐烂壮况判断不足踩在井篦子上时横梁脱落巡检工双腿插又井篦子空隙中造成伤害事故。")</f>
        <v>巡检工巡检污水井水位时由于对井篦子腐烂壮况判断不足踩在井篦子上时横梁脱落巡检工双腿插又井篦子空隙中造成伤害事故。</v>
      </c>
      <c r="E110" s="19" t="s">
        <v>660</v>
      </c>
      <c r="F110" s="20" t="s">
        <v>42</v>
      </c>
      <c r="G110" s="21" t="s">
        <v>43</v>
      </c>
      <c r="H110" s="19" t="s">
        <v>44</v>
      </c>
      <c r="I110" s="19" t="s">
        <v>45</v>
      </c>
      <c r="J110" s="19" t="s">
        <v>178</v>
      </c>
      <c r="K110" s="19"/>
      <c r="L110" s="19"/>
      <c r="M110" s="19" t="s">
        <v>84</v>
      </c>
      <c r="N110" s="19" t="s">
        <v>85</v>
      </c>
      <c r="O110" s="19" t="s">
        <v>84</v>
      </c>
      <c r="P110" s="19" t="s">
        <v>85</v>
      </c>
      <c r="Q110" s="19" t="s">
        <v>661</v>
      </c>
      <c r="R110" s="19" t="s">
        <v>662</v>
      </c>
      <c r="S110" s="19"/>
      <c r="T110" s="19" t="s">
        <v>54</v>
      </c>
      <c r="U110" s="19" t="s">
        <v>55</v>
      </c>
      <c r="V110" s="19" t="s">
        <v>56</v>
      </c>
      <c r="W110" s="19" t="s">
        <v>57</v>
      </c>
      <c r="X110" s="19" t="s">
        <v>58</v>
      </c>
      <c r="Y110" s="19"/>
      <c r="Z110" s="19" t="s">
        <v>663</v>
      </c>
      <c r="AA110" s="19">
        <v>2</v>
      </c>
      <c r="AB110" s="19">
        <v>1</v>
      </c>
      <c r="AC110" s="19" t="s">
        <v>60</v>
      </c>
      <c r="AD110" s="19" t="s">
        <v>85</v>
      </c>
      <c r="AE110" s="19" t="s">
        <v>88</v>
      </c>
      <c r="AF110" s="19" t="s">
        <v>664</v>
      </c>
    </row>
    <row r="111" spans="1:34">
      <c r="A111" s="19">
        <v>104</v>
      </c>
      <c r="B111" s="19" t="s">
        <v>88</v>
      </c>
      <c r="C111" s="19" t="s">
        <v>266</v>
      </c>
      <c r="D111" s="19" t="str">
        <f>HYPERLINK("http://www.henontech.com/fieldsafety/harzard/harzard_show.php?rid=1574&amp;url=harzardrecs.php","北风机岗位初冷器操作平台上部，2#初冷器接地线没固定好，并且没紧贴地面，假如操作人员从此处经过时有可能被拌倒，会造成人员腿部、手部或手臂轻微伤害，经医务室做简单处理后继续正常工作。")</f>
        <v>北风机岗位初冷器操作平台上部，2#初冷器接地线没固定好，并且没紧贴地面，假如操作人员从此处经过时有可能被拌倒，会造成人员腿部、手部或手臂轻微伤害，经医务室做简单处理后继续正常工作。</v>
      </c>
      <c r="E111" s="19" t="s">
        <v>665</v>
      </c>
      <c r="F111" s="20" t="s">
        <v>42</v>
      </c>
      <c r="G111" s="21" t="s">
        <v>43</v>
      </c>
      <c r="H111" s="19" t="s">
        <v>44</v>
      </c>
      <c r="I111" s="19" t="s">
        <v>45</v>
      </c>
      <c r="J111" s="19" t="s">
        <v>68</v>
      </c>
      <c r="K111" s="19" t="s">
        <v>69</v>
      </c>
      <c r="L111" s="19" t="s">
        <v>48</v>
      </c>
      <c r="M111" s="19" t="s">
        <v>70</v>
      </c>
      <c r="N111" s="19" t="s">
        <v>666</v>
      </c>
      <c r="O111" s="19" t="s">
        <v>70</v>
      </c>
      <c r="P111" s="19" t="s">
        <v>72</v>
      </c>
      <c r="Q111" s="19" t="s">
        <v>647</v>
      </c>
      <c r="R111" s="19" t="s">
        <v>667</v>
      </c>
      <c r="S111" s="19"/>
      <c r="T111" s="19" t="s">
        <v>54</v>
      </c>
      <c r="U111" s="19" t="s">
        <v>75</v>
      </c>
      <c r="V111" s="19" t="s">
        <v>101</v>
      </c>
      <c r="W111" s="19" t="s">
        <v>77</v>
      </c>
      <c r="X111" s="19"/>
      <c r="Y111" s="19"/>
      <c r="Z111" s="19" t="s">
        <v>668</v>
      </c>
      <c r="AA111" s="19">
        <v>1</v>
      </c>
      <c r="AB111" s="19">
        <v>1</v>
      </c>
      <c r="AC111" s="19" t="s">
        <v>60</v>
      </c>
      <c r="AD111" s="19" t="s">
        <v>72</v>
      </c>
      <c r="AE111" s="19" t="s">
        <v>174</v>
      </c>
      <c r="AF111" s="19"/>
    </row>
    <row r="112" spans="1:34">
      <c r="A112" s="19">
        <v>105</v>
      </c>
      <c r="B112" s="19" t="s">
        <v>88</v>
      </c>
      <c r="C112" s="19" t="s">
        <v>669</v>
      </c>
      <c r="D112" s="19" t="str">
        <f>HYPERLINK("http://www.henontech.com/fieldsafety/harzard/harzard_show.php?rid=1575&amp;url=harzardrecs.php","北供水5#循环泵由于长时间使用，联轴器防护罩固定螺栓发生松动，螺母掉落，造成防护罩不牢靠，起不到防护作用，如果一名操作人员在巡检或擦拭该设备时不注意，可能被联轴器伤到手，住院治疗15天康复，损工半月！")</f>
        <v>北供水5#循环泵由于长时间使用，联轴器防护罩固定螺栓发生松动，螺母掉落，造成防护罩不牢靠，起不到防护作用，如果一名操作人员在巡检或擦拭该设备时不注意，可能被联轴器伤到手，住院治疗15天康复，损工半月！</v>
      </c>
      <c r="E112" s="19" t="s">
        <v>670</v>
      </c>
      <c r="F112" s="20" t="s">
        <v>42</v>
      </c>
      <c r="G112" s="21" t="s">
        <v>43</v>
      </c>
      <c r="H112" s="19" t="s">
        <v>44</v>
      </c>
      <c r="I112" s="19" t="s">
        <v>45</v>
      </c>
      <c r="J112" s="19" t="s">
        <v>46</v>
      </c>
      <c r="K112" s="19" t="s">
        <v>47</v>
      </c>
      <c r="L112" s="19" t="s">
        <v>48</v>
      </c>
      <c r="M112" s="19" t="s">
        <v>70</v>
      </c>
      <c r="N112" s="19" t="s">
        <v>671</v>
      </c>
      <c r="O112" s="19" t="s">
        <v>70</v>
      </c>
      <c r="P112" s="19" t="s">
        <v>72</v>
      </c>
      <c r="Q112" s="19" t="s">
        <v>647</v>
      </c>
      <c r="R112" s="19" t="s">
        <v>672</v>
      </c>
      <c r="S112" s="19"/>
      <c r="T112" s="19" t="s">
        <v>54</v>
      </c>
      <c r="U112" s="19" t="s">
        <v>55</v>
      </c>
      <c r="V112" s="19" t="s">
        <v>56</v>
      </c>
      <c r="W112" s="19" t="s">
        <v>57</v>
      </c>
      <c r="X112" s="19"/>
      <c r="Y112" s="19"/>
      <c r="Z112" s="19" t="s">
        <v>673</v>
      </c>
      <c r="AA112" s="19">
        <v>1</v>
      </c>
      <c r="AB112" s="19">
        <v>1</v>
      </c>
      <c r="AC112" s="19" t="s">
        <v>60</v>
      </c>
      <c r="AD112" s="19" t="s">
        <v>72</v>
      </c>
      <c r="AE112" s="19" t="s">
        <v>548</v>
      </c>
      <c r="AF112" s="19"/>
    </row>
    <row r="113" spans="1:34">
      <c r="A113" s="19">
        <v>106</v>
      </c>
      <c r="B113" s="19" t="s">
        <v>88</v>
      </c>
      <c r="C113" s="19" t="s">
        <v>423</v>
      </c>
      <c r="D113" s="19" t="str">
        <f>HYPERLINK("http://www.henontech.com/fieldsafety/harzard/harzard_show.php?rid=1576&amp;url=harzardrecs.php","化产车间，南脱硫硫磺室，蒸汽阀门盘根漏蒸汽，如果有操作工不注意从此处经过，由于蒸汽温度过高，就有可能颈部被轻微烫伤，经医务室简单处理，职工正常工作。")</f>
        <v>化产车间，南脱硫硫磺室，蒸汽阀门盘根漏蒸汽，如果有操作工不注意从此处经过，由于蒸汽温度过高，就有可能颈部被轻微烫伤，经医务室简单处理，职工正常工作。</v>
      </c>
      <c r="E113" s="19" t="s">
        <v>674</v>
      </c>
      <c r="F113" s="20" t="s">
        <v>42</v>
      </c>
      <c r="G113" s="21" t="s">
        <v>43</v>
      </c>
      <c r="H113" s="19" t="s">
        <v>44</v>
      </c>
      <c r="I113" s="19" t="s">
        <v>45</v>
      </c>
      <c r="J113" s="19" t="s">
        <v>46</v>
      </c>
      <c r="K113" s="19" t="s">
        <v>145</v>
      </c>
      <c r="L113" s="19" t="s">
        <v>48</v>
      </c>
      <c r="M113" s="19" t="s">
        <v>70</v>
      </c>
      <c r="N113" s="19" t="s">
        <v>675</v>
      </c>
      <c r="O113" s="19" t="s">
        <v>70</v>
      </c>
      <c r="P113" s="19" t="s">
        <v>72</v>
      </c>
      <c r="Q113" s="19" t="s">
        <v>647</v>
      </c>
      <c r="R113" s="19" t="s">
        <v>676</v>
      </c>
      <c r="S113" s="19"/>
      <c r="T113" s="19" t="s">
        <v>54</v>
      </c>
      <c r="U113" s="19" t="s">
        <v>75</v>
      </c>
      <c r="V113" s="19" t="s">
        <v>101</v>
      </c>
      <c r="W113" s="19" t="s">
        <v>77</v>
      </c>
      <c r="X113" s="19"/>
      <c r="Y113" s="19"/>
      <c r="Z113" s="19" t="s">
        <v>677</v>
      </c>
      <c r="AA113" s="19">
        <v>1</v>
      </c>
      <c r="AB113" s="19">
        <v>1</v>
      </c>
      <c r="AC113" s="19" t="s">
        <v>60</v>
      </c>
      <c r="AD113" s="19" t="s">
        <v>72</v>
      </c>
      <c r="AE113" s="19" t="s">
        <v>204</v>
      </c>
      <c r="AF113" s="19"/>
    </row>
    <row r="114" spans="1:34">
      <c r="A114" s="19">
        <v>107</v>
      </c>
      <c r="B114" s="19" t="s">
        <v>307</v>
      </c>
      <c r="C114" s="19" t="s">
        <v>549</v>
      </c>
      <c r="D114" s="19" t="str">
        <f>HYPERLINK("http://www.henontech.com/fieldsafety/harzard/harzard_show.php?rid=1577&amp;url=harzardrecs.php","因2#初冷器下段温度调节电动阀门故障，需操作上部手动阀门调节。操作工在攀爬过程中，可能会踩蹭摔倒，造成手臂，脚腕轻微伤害。经医务室简单处理，继续正常工作。")</f>
        <v>因2#初冷器下段温度调节电动阀门故障，需操作上部手动阀门调节。操作工在攀爬过程中，可能会踩蹭摔倒，造成手臂，脚腕轻微伤害。经医务室简单处理，继续正常工作。</v>
      </c>
      <c r="E114" s="19" t="s">
        <v>678</v>
      </c>
      <c r="F114" s="20" t="s">
        <v>42</v>
      </c>
      <c r="G114" s="21" t="s">
        <v>43</v>
      </c>
      <c r="H114" s="19" t="s">
        <v>44</v>
      </c>
      <c r="I114" s="19" t="s">
        <v>83</v>
      </c>
      <c r="J114" s="19" t="s">
        <v>46</v>
      </c>
      <c r="K114" s="19" t="s">
        <v>209</v>
      </c>
      <c r="L114" s="19"/>
      <c r="M114" s="19" t="s">
        <v>70</v>
      </c>
      <c r="N114" s="19" t="s">
        <v>679</v>
      </c>
      <c r="O114" s="19" t="s">
        <v>70</v>
      </c>
      <c r="P114" s="19" t="s">
        <v>72</v>
      </c>
      <c r="Q114" s="19" t="s">
        <v>548</v>
      </c>
      <c r="R114" s="19" t="s">
        <v>667</v>
      </c>
      <c r="S114" s="19"/>
      <c r="T114" s="19" t="s">
        <v>54</v>
      </c>
      <c r="U114" s="19" t="s">
        <v>75</v>
      </c>
      <c r="V114" s="19" t="s">
        <v>101</v>
      </c>
      <c r="W114" s="19" t="s">
        <v>77</v>
      </c>
      <c r="X114" s="19"/>
      <c r="Y114" s="19"/>
      <c r="Z114" s="19" t="s">
        <v>680</v>
      </c>
      <c r="AA114" s="19">
        <v>1</v>
      </c>
      <c r="AB114" s="19">
        <v>1</v>
      </c>
      <c r="AC114" s="19" t="s">
        <v>60</v>
      </c>
      <c r="AD114" s="19" t="s">
        <v>72</v>
      </c>
      <c r="AE114" s="19" t="s">
        <v>462</v>
      </c>
      <c r="AF114" s="19"/>
    </row>
    <row r="115" spans="1:34">
      <c r="A115" s="19">
        <v>108</v>
      </c>
      <c r="B115" s="19" t="s">
        <v>184</v>
      </c>
      <c r="C115" s="19" t="s">
        <v>681</v>
      </c>
      <c r="D115" s="19" t="str">
        <f>HYPERLINK("http://www.henontech.com/fieldsafety/harzard/harzard_show.php?rid=1579&amp;url=harzardrecs.php","压缩二楼吊装孔在配件吊装后未及时恢复，且无警示标识，若一名巡检人员不注意，踩空跌落头部着地，造成一人死亡事故。")</f>
        <v>压缩二楼吊装孔在配件吊装后未及时恢复，且无警示标识，若一名巡检人员不注意，踩空跌落头部着地，造成一人死亡事故。</v>
      </c>
      <c r="E115" s="19" t="s">
        <v>682</v>
      </c>
      <c r="F115" s="20" t="s">
        <v>42</v>
      </c>
      <c r="G115" s="22" t="s">
        <v>66</v>
      </c>
      <c r="H115" s="19" t="s">
        <v>44</v>
      </c>
      <c r="I115" s="19" t="s">
        <v>67</v>
      </c>
      <c r="J115" s="19" t="s">
        <v>46</v>
      </c>
      <c r="K115" s="19" t="s">
        <v>47</v>
      </c>
      <c r="L115" s="19" t="s">
        <v>48</v>
      </c>
      <c r="M115" s="19" t="s">
        <v>96</v>
      </c>
      <c r="N115" s="19" t="s">
        <v>683</v>
      </c>
      <c r="O115" s="19" t="s">
        <v>96</v>
      </c>
      <c r="P115" s="19" t="s">
        <v>180</v>
      </c>
      <c r="Q115" s="19" t="s">
        <v>684</v>
      </c>
      <c r="R115" s="19" t="s">
        <v>685</v>
      </c>
      <c r="S115" s="19"/>
      <c r="T115" s="19" t="s">
        <v>54</v>
      </c>
      <c r="U115" s="19" t="s">
        <v>121</v>
      </c>
      <c r="V115" s="19" t="s">
        <v>56</v>
      </c>
      <c r="W115" s="19" t="s">
        <v>122</v>
      </c>
      <c r="X115" s="19" t="s">
        <v>58</v>
      </c>
      <c r="Y115" s="19" t="s">
        <v>58</v>
      </c>
      <c r="Z115" s="19" t="s">
        <v>686</v>
      </c>
      <c r="AA115" s="19">
        <v>1</v>
      </c>
      <c r="AB115" s="19">
        <v>1</v>
      </c>
      <c r="AC115" s="19" t="s">
        <v>60</v>
      </c>
      <c r="AD115" s="19" t="s">
        <v>180</v>
      </c>
      <c r="AE115" s="19" t="s">
        <v>184</v>
      </c>
      <c r="AF115" s="19"/>
    </row>
    <row r="116" spans="1:34">
      <c r="A116" s="19">
        <v>109</v>
      </c>
      <c r="B116" s="19" t="s">
        <v>184</v>
      </c>
      <c r="C116" s="19" t="s">
        <v>91</v>
      </c>
      <c r="D116" s="19" t="str">
        <f>HYPERLINK("http://www.henontech.com/fieldsafety/harzard/harzard_show.php?rid=1580&amp;url=harzardrecs.php","合成液氨储槽灌区新按装平台，未安装安全警示标识，操作工在攀爬爬梯过程中，不慎跌落地面，造成一人脚部扭伤，送医治疗确诊脚腕骨折。")</f>
        <v>合成液氨储槽灌区新按装平台，未安装安全警示标识，操作工在攀爬爬梯过程中，不慎跌落地面，造成一人脚部扭伤，送医治疗确诊脚腕骨折。</v>
      </c>
      <c r="E116" s="19" t="s">
        <v>687</v>
      </c>
      <c r="F116" s="20" t="s">
        <v>42</v>
      </c>
      <c r="G116" s="21" t="s">
        <v>43</v>
      </c>
      <c r="H116" s="19" t="s">
        <v>44</v>
      </c>
      <c r="I116" s="19" t="s">
        <v>83</v>
      </c>
      <c r="J116" s="19" t="s">
        <v>46</v>
      </c>
      <c r="K116" s="19" t="s">
        <v>69</v>
      </c>
      <c r="L116" s="19"/>
      <c r="M116" s="19" t="s">
        <v>96</v>
      </c>
      <c r="N116" s="19" t="s">
        <v>180</v>
      </c>
      <c r="O116" s="19" t="s">
        <v>96</v>
      </c>
      <c r="P116" s="19" t="s">
        <v>180</v>
      </c>
      <c r="Q116" s="19" t="s">
        <v>684</v>
      </c>
      <c r="R116" s="19" t="s">
        <v>91</v>
      </c>
      <c r="S116" s="19"/>
      <c r="T116" s="19" t="s">
        <v>54</v>
      </c>
      <c r="U116" s="19" t="s">
        <v>55</v>
      </c>
      <c r="V116" s="19" t="s">
        <v>101</v>
      </c>
      <c r="W116" s="19" t="s">
        <v>138</v>
      </c>
      <c r="X116" s="19" t="s">
        <v>182</v>
      </c>
      <c r="Y116" s="19" t="s">
        <v>182</v>
      </c>
      <c r="Z116" s="19" t="s">
        <v>688</v>
      </c>
      <c r="AA116" s="19">
        <v>1</v>
      </c>
      <c r="AB116" s="19">
        <v>1</v>
      </c>
      <c r="AC116" s="19" t="s">
        <v>60</v>
      </c>
      <c r="AD116" s="19" t="s">
        <v>180</v>
      </c>
      <c r="AE116" s="19" t="s">
        <v>170</v>
      </c>
      <c r="AF116" s="19"/>
    </row>
    <row r="117" spans="1:34" customHeight="1" ht="42">
      <c r="A117" s="19">
        <v>110</v>
      </c>
      <c r="B117" s="19" t="s">
        <v>204</v>
      </c>
      <c r="C117" s="19" t="s">
        <v>689</v>
      </c>
      <c r="D117" s="19" t="str">
        <f>HYPERLINK("http://www.henontech.com/fieldsafety/harzard/harzard_show.php?rid=1581&amp;url=harzardrecs.php","1号提升机挂钩监控处灯光缺失，夜间焦罐提升时监控画面不清晰，焦罐挂耳处看不清，提升机提升时一侧挂钩未挂在挂耳中，因无灯光监控画面不清晰，主控室人员未能及时发现，造成设备损坏，耽误生产八小时。")</f>
        <v>1号提升机挂钩监控处灯光缺失，夜间焦罐提升时监控画面不清晰，焦罐挂耳处看不清，提升机提升时一侧挂钩未挂在挂耳中，因无灯光监控画面不清晰，主控室人员未能及时发现，造成设备损坏，耽误生产八小时。</v>
      </c>
      <c r="E117" s="19" t="s">
        <v>690</v>
      </c>
      <c r="F117" s="20" t="s">
        <v>42</v>
      </c>
      <c r="G117" s="21" t="s">
        <v>43</v>
      </c>
      <c r="H117" s="19" t="s">
        <v>44</v>
      </c>
      <c r="I117" s="19" t="s">
        <v>437</v>
      </c>
      <c r="J117" s="19" t="s">
        <v>46</v>
      </c>
      <c r="K117" s="19"/>
      <c r="L117" s="19"/>
      <c r="M117" s="19" t="s">
        <v>117</v>
      </c>
      <c r="N117" s="19" t="s">
        <v>691</v>
      </c>
      <c r="O117" s="19" t="s">
        <v>117</v>
      </c>
      <c r="P117" s="19" t="s">
        <v>692</v>
      </c>
      <c r="Q117" s="19" t="s">
        <v>693</v>
      </c>
      <c r="R117" s="19" t="s">
        <v>694</v>
      </c>
      <c r="S117" s="19" t="s">
        <v>695</v>
      </c>
      <c r="T117" s="19" t="s">
        <v>100</v>
      </c>
      <c r="U117" s="19" t="s">
        <v>55</v>
      </c>
      <c r="V117" s="19" t="s">
        <v>271</v>
      </c>
      <c r="W117" s="19" t="s">
        <v>122</v>
      </c>
      <c r="X117" s="19" t="s">
        <v>123</v>
      </c>
      <c r="Y117" s="19" t="s">
        <v>123</v>
      </c>
      <c r="Z117" s="19" t="s">
        <v>696</v>
      </c>
      <c r="AA117" s="19">
        <v>2</v>
      </c>
      <c r="AB117" s="19">
        <v>2</v>
      </c>
      <c r="AC117" s="19" t="s">
        <v>60</v>
      </c>
      <c r="AD117" s="19" t="s">
        <v>692</v>
      </c>
      <c r="AE117" s="19" t="s">
        <v>569</v>
      </c>
      <c r="AF117" s="19"/>
    </row>
    <row r="118" spans="1:34">
      <c r="A118" s="19">
        <v>111</v>
      </c>
      <c r="B118" s="19" t="s">
        <v>184</v>
      </c>
      <c r="C118" s="19" t="s">
        <v>697</v>
      </c>
      <c r="D118" s="19" t="str">
        <f>HYPERLINK("http://www.henontech.com/fieldsafety/harzard/harzard_show.php?rid=1584&amp;url=harzardrecs.php","4.3米炉顶北头放散配电箱未关闭，如果有操作人员不慎触碰到裸露的带电电器电线上，可能造成人员触电的死亡事故.")</f>
        <v>4.3米炉顶北头放散配电箱未关闭，如果有操作人员不慎触碰到裸露的带电电器电线上，可能造成人员触电的死亡事故.</v>
      </c>
      <c r="E118" s="19" t="s">
        <v>698</v>
      </c>
      <c r="F118" s="24" t="s">
        <v>387</v>
      </c>
      <c r="G118" s="21" t="s">
        <v>43</v>
      </c>
      <c r="H118" s="19" t="s">
        <v>44</v>
      </c>
      <c r="I118" s="19"/>
      <c r="J118" s="19" t="s">
        <v>46</v>
      </c>
      <c r="K118" s="19"/>
      <c r="L118" s="19"/>
      <c r="M118" s="19" t="s">
        <v>117</v>
      </c>
      <c r="N118" s="19" t="s">
        <v>238</v>
      </c>
      <c r="O118" s="19"/>
      <c r="P118" s="19"/>
      <c r="Q118" s="19"/>
      <c r="R118" s="19" t="s">
        <v>699</v>
      </c>
      <c r="S118" s="19" t="s">
        <v>700</v>
      </c>
      <c r="T118" s="19" t="s">
        <v>54</v>
      </c>
      <c r="U118" s="19" t="s">
        <v>121</v>
      </c>
      <c r="V118" s="19" t="s">
        <v>76</v>
      </c>
      <c r="W118" s="19" t="s">
        <v>138</v>
      </c>
      <c r="X118" s="19"/>
      <c r="Y118" s="19"/>
      <c r="Z118" s="19"/>
      <c r="AA118" s="19">
        <v>0</v>
      </c>
      <c r="AB118" s="19"/>
      <c r="AC118" s="19" t="s">
        <v>392</v>
      </c>
      <c r="AD118" s="19"/>
      <c r="AE118" s="19"/>
      <c r="AF118" s="19"/>
    </row>
    <row r="119" spans="1:34">
      <c r="A119" s="19">
        <v>112</v>
      </c>
      <c r="B119" s="19" t="s">
        <v>184</v>
      </c>
      <c r="C119" s="19" t="s">
        <v>407</v>
      </c>
      <c r="D119" s="19" t="str">
        <f>HYPERLINK("http://www.henontech.com/fieldsafety/harzard/harzard_show.php?rid=1586&amp;url=harzardrecs.php","行灯坏，需更换")</f>
        <v>行灯坏，需更换</v>
      </c>
      <c r="E119" s="19" t="s">
        <v>641</v>
      </c>
      <c r="F119" s="20" t="s">
        <v>42</v>
      </c>
      <c r="G119" s="21" t="s">
        <v>43</v>
      </c>
      <c r="H119" s="19" t="s">
        <v>44</v>
      </c>
      <c r="I119" s="19"/>
      <c r="J119" s="19" t="s">
        <v>68</v>
      </c>
      <c r="K119" s="19"/>
      <c r="L119" s="19"/>
      <c r="M119" s="19" t="s">
        <v>285</v>
      </c>
      <c r="N119" s="19" t="s">
        <v>642</v>
      </c>
      <c r="O119" s="19" t="s">
        <v>285</v>
      </c>
      <c r="P119" s="19" t="s">
        <v>642</v>
      </c>
      <c r="Q119" s="19" t="s">
        <v>190</v>
      </c>
      <c r="R119" s="19" t="s">
        <v>701</v>
      </c>
      <c r="S119" s="19"/>
      <c r="T119" s="19" t="s">
        <v>54</v>
      </c>
      <c r="U119" s="19" t="s">
        <v>75</v>
      </c>
      <c r="V119" s="19" t="s">
        <v>56</v>
      </c>
      <c r="W119" s="19" t="s">
        <v>138</v>
      </c>
      <c r="X119" s="19"/>
      <c r="Y119" s="19"/>
      <c r="Z119" s="19" t="s">
        <v>702</v>
      </c>
      <c r="AA119" s="19">
        <v>1</v>
      </c>
      <c r="AB119" s="19">
        <v>1</v>
      </c>
      <c r="AC119" s="19" t="s">
        <v>60</v>
      </c>
      <c r="AD119" s="19" t="s">
        <v>642</v>
      </c>
      <c r="AE119" s="19" t="s">
        <v>190</v>
      </c>
      <c r="AF119" s="19" t="s">
        <v>703</v>
      </c>
    </row>
    <row r="120" spans="1:34">
      <c r="A120" s="19">
        <v>113</v>
      </c>
      <c r="B120" s="19" t="s">
        <v>184</v>
      </c>
      <c r="C120" s="19" t="s">
        <v>96</v>
      </c>
      <c r="D120" s="19" t="str">
        <f>HYPERLINK("http://www.henontech.com/fieldsafety/harzard/harzard_show.php?rid=1587&amp;url=harzardrecs.php","空分工段厂房内地沟盖板移位，一名操作工在巡检过程中不慎踩到，造成脚腕扭伤。")</f>
        <v>空分工段厂房内地沟盖板移位，一名操作工在巡检过程中不慎踩到，造成脚腕扭伤。</v>
      </c>
      <c r="E120" s="19" t="s">
        <v>704</v>
      </c>
      <c r="F120" s="20" t="s">
        <v>42</v>
      </c>
      <c r="G120" s="21" t="s">
        <v>43</v>
      </c>
      <c r="H120" s="19" t="s">
        <v>44</v>
      </c>
      <c r="I120" s="19" t="s">
        <v>83</v>
      </c>
      <c r="J120" s="19" t="s">
        <v>68</v>
      </c>
      <c r="K120" s="19" t="s">
        <v>145</v>
      </c>
      <c r="L120" s="19"/>
      <c r="M120" s="19" t="s">
        <v>96</v>
      </c>
      <c r="N120" s="19" t="s">
        <v>261</v>
      </c>
      <c r="O120" s="19" t="s">
        <v>96</v>
      </c>
      <c r="P120" s="19" t="s">
        <v>189</v>
      </c>
      <c r="Q120" s="19" t="s">
        <v>478</v>
      </c>
      <c r="R120" s="19" t="s">
        <v>263</v>
      </c>
      <c r="S120" s="19"/>
      <c r="T120" s="19" t="s">
        <v>54</v>
      </c>
      <c r="U120" s="19" t="s">
        <v>75</v>
      </c>
      <c r="V120" s="19" t="s">
        <v>76</v>
      </c>
      <c r="W120" s="19" t="s">
        <v>77</v>
      </c>
      <c r="X120" s="19" t="s">
        <v>235</v>
      </c>
      <c r="Y120" s="19" t="s">
        <v>235</v>
      </c>
      <c r="Z120" s="19" t="s">
        <v>705</v>
      </c>
      <c r="AA120" s="19">
        <v>1</v>
      </c>
      <c r="AB120" s="19">
        <v>1</v>
      </c>
      <c r="AC120" s="19" t="s">
        <v>60</v>
      </c>
      <c r="AD120" s="19" t="s">
        <v>189</v>
      </c>
      <c r="AE120" s="19" t="s">
        <v>262</v>
      </c>
      <c r="AF120" s="19"/>
    </row>
    <row r="121" spans="1:34">
      <c r="A121" s="19">
        <v>114</v>
      </c>
      <c r="B121" s="19" t="s">
        <v>184</v>
      </c>
      <c r="C121" s="19" t="s">
        <v>706</v>
      </c>
      <c r="D121" s="19" t="str">
        <f>HYPERLINK("http://www.henontech.com/fieldsafety/harzard/harzard_show.php?rid=1588&amp;url=harzardrecs.php","粗苯计量槽围沿内有一口积水坑没有盖板、没有警示标识。如果一名操作工夜间进入围沿内打扫卫生时不注意，可能迈入坑内造成腿部轻微擦伤，到医务室处理后继续正常工作。")</f>
        <v>粗苯计量槽围沿内有一口积水坑没有盖板、没有警示标识。如果一名操作工夜间进入围沿内打扫卫生时不注意，可能迈入坑内造成腿部轻微擦伤，到医务室处理后继续正常工作。</v>
      </c>
      <c r="E121" s="19" t="s">
        <v>707</v>
      </c>
      <c r="F121" s="20" t="s">
        <v>42</v>
      </c>
      <c r="G121" s="21" t="s">
        <v>43</v>
      </c>
      <c r="H121" s="19" t="s">
        <v>44</v>
      </c>
      <c r="I121" s="19"/>
      <c r="J121" s="19" t="s">
        <v>68</v>
      </c>
      <c r="K121" s="19" t="s">
        <v>69</v>
      </c>
      <c r="L121" s="19"/>
      <c r="M121" s="19" t="s">
        <v>70</v>
      </c>
      <c r="N121" s="19" t="s">
        <v>213</v>
      </c>
      <c r="O121" s="19" t="s">
        <v>70</v>
      </c>
      <c r="P121" s="19" t="s">
        <v>72</v>
      </c>
      <c r="Q121" s="19" t="s">
        <v>693</v>
      </c>
      <c r="R121" s="19" t="s">
        <v>708</v>
      </c>
      <c r="S121" s="19"/>
      <c r="T121" s="19" t="s">
        <v>54</v>
      </c>
      <c r="U121" s="19" t="s">
        <v>75</v>
      </c>
      <c r="V121" s="19" t="s">
        <v>101</v>
      </c>
      <c r="W121" s="19" t="s">
        <v>77</v>
      </c>
      <c r="X121" s="19"/>
      <c r="Y121" s="19"/>
      <c r="Z121" s="19" t="s">
        <v>709</v>
      </c>
      <c r="AA121" s="19">
        <v>1</v>
      </c>
      <c r="AB121" s="19">
        <v>1</v>
      </c>
      <c r="AC121" s="19" t="s">
        <v>60</v>
      </c>
      <c r="AD121" s="19" t="s">
        <v>72</v>
      </c>
      <c r="AE121" s="19" t="s">
        <v>693</v>
      </c>
      <c r="AF121" s="19"/>
    </row>
    <row r="122" spans="1:34">
      <c r="A122" s="19">
        <v>115</v>
      </c>
      <c r="B122" s="19" t="s">
        <v>204</v>
      </c>
      <c r="C122" s="19" t="s">
        <v>176</v>
      </c>
      <c r="D122" s="19" t="str">
        <f>HYPERLINK("http://www.henontech.com/fieldsafety/harzard/harzard_show.php?rid=1590&amp;url=harzardrecs.php","脱硫泵东侧收集脱硫液的小井盖板未盖，操作工夜间巡检到此处时，由于照明不良，不慎踏入小井，造成左脚扭伤，左手擦伤。")</f>
        <v>脱硫泵东侧收集脱硫液的小井盖板未盖，操作工夜间巡检到此处时，由于照明不良，不慎踏入小井，造成左脚扭伤，左手擦伤。</v>
      </c>
      <c r="E122" s="19" t="s">
        <v>710</v>
      </c>
      <c r="F122" s="20" t="s">
        <v>42</v>
      </c>
      <c r="G122" s="22" t="s">
        <v>66</v>
      </c>
      <c r="H122" s="19" t="s">
        <v>44</v>
      </c>
      <c r="I122" s="19" t="s">
        <v>67</v>
      </c>
      <c r="J122" s="19" t="s">
        <v>334</v>
      </c>
      <c r="K122" s="19" t="s">
        <v>145</v>
      </c>
      <c r="L122" s="19" t="s">
        <v>48</v>
      </c>
      <c r="M122" s="19" t="s">
        <v>96</v>
      </c>
      <c r="N122" s="19" t="s">
        <v>711</v>
      </c>
      <c r="O122" s="19" t="s">
        <v>96</v>
      </c>
      <c r="P122" s="19" t="s">
        <v>180</v>
      </c>
      <c r="Q122" s="19" t="s">
        <v>174</v>
      </c>
      <c r="R122" s="19" t="s">
        <v>712</v>
      </c>
      <c r="S122" s="19"/>
      <c r="T122" s="19" t="s">
        <v>54</v>
      </c>
      <c r="U122" s="19" t="s">
        <v>55</v>
      </c>
      <c r="V122" s="19" t="s">
        <v>271</v>
      </c>
      <c r="W122" s="19" t="s">
        <v>122</v>
      </c>
      <c r="X122" s="19" t="s">
        <v>713</v>
      </c>
      <c r="Y122" s="19" t="s">
        <v>182</v>
      </c>
      <c r="Z122" s="19" t="s">
        <v>714</v>
      </c>
      <c r="AA122" s="19">
        <v>1</v>
      </c>
      <c r="AB122" s="19">
        <v>1</v>
      </c>
      <c r="AC122" s="19" t="s">
        <v>60</v>
      </c>
      <c r="AD122" s="19" t="s">
        <v>180</v>
      </c>
      <c r="AE122" s="19" t="s">
        <v>170</v>
      </c>
      <c r="AF122" s="19"/>
    </row>
    <row r="123" spans="1:34">
      <c r="A123" s="19">
        <v>116</v>
      </c>
      <c r="B123" s="19" t="s">
        <v>204</v>
      </c>
      <c r="C123" s="19" t="s">
        <v>706</v>
      </c>
      <c r="D123" s="19" t="str">
        <f>HYPERLINK("http://www.henontech.com/fieldsafety/harzard/harzard_show.php?rid=1591&amp;url=harzardrecs.php","粗苯紧急切断阀穿线管断裂，线路裸露，日晒雨淋导致线路老化、断裂，紧急切断阀失去控制信号不起作用，自动关闭无法打开")</f>
        <v>粗苯紧急切断阀穿线管断裂，线路裸露，日晒雨淋导致线路老化、断裂，紧急切断阀失去控制信号不起作用，自动关闭无法打开</v>
      </c>
      <c r="E123" s="19" t="s">
        <v>715</v>
      </c>
      <c r="F123" s="20" t="s">
        <v>42</v>
      </c>
      <c r="G123" s="22" t="s">
        <v>66</v>
      </c>
      <c r="H123" s="19" t="s">
        <v>44</v>
      </c>
      <c r="I123" s="19" t="s">
        <v>67</v>
      </c>
      <c r="J123" s="19" t="s">
        <v>46</v>
      </c>
      <c r="K123" s="19" t="s">
        <v>69</v>
      </c>
      <c r="L123" s="19" t="s">
        <v>48</v>
      </c>
      <c r="M123" s="19" t="s">
        <v>70</v>
      </c>
      <c r="N123" s="19" t="s">
        <v>716</v>
      </c>
      <c r="O123" s="19" t="s">
        <v>70</v>
      </c>
      <c r="P123" s="19" t="s">
        <v>72</v>
      </c>
      <c r="Q123" s="19" t="s">
        <v>693</v>
      </c>
      <c r="R123" s="19" t="s">
        <v>717</v>
      </c>
      <c r="S123" s="19"/>
      <c r="T123" s="19" t="s">
        <v>100</v>
      </c>
      <c r="U123" s="19" t="s">
        <v>192</v>
      </c>
      <c r="V123" s="19" t="s">
        <v>76</v>
      </c>
      <c r="W123" s="19" t="s">
        <v>77</v>
      </c>
      <c r="X123" s="19"/>
      <c r="Y123" s="19"/>
      <c r="Z123" s="19" t="s">
        <v>718</v>
      </c>
      <c r="AA123" s="19">
        <v>1</v>
      </c>
      <c r="AB123" s="19">
        <v>1</v>
      </c>
      <c r="AC123" s="19" t="s">
        <v>60</v>
      </c>
      <c r="AD123" s="19" t="s">
        <v>72</v>
      </c>
      <c r="AE123" s="19" t="s">
        <v>457</v>
      </c>
      <c r="AF123" s="19"/>
    </row>
    <row r="124" spans="1:34">
      <c r="A124" s="19">
        <v>117</v>
      </c>
      <c r="B124" s="19" t="s">
        <v>204</v>
      </c>
      <c r="C124" s="19" t="s">
        <v>70</v>
      </c>
      <c r="D124" s="19" t="str">
        <f>HYPERLINK("http://www.henontech.com/fieldsafety/harzard/harzard_show.php?rid=1592&amp;url=harzardrecs.php","废水池无盖板无遮拦，假如一名操作工在夜间操作抽水时，左脚不慎落入池中，造成脚部腐蚀")</f>
        <v>废水池无盖板无遮拦，假如一名操作工在夜间操作抽水时，左脚不慎落入池中，造成脚部腐蚀</v>
      </c>
      <c r="E124" s="19" t="s">
        <v>719</v>
      </c>
      <c r="F124" s="20" t="s">
        <v>42</v>
      </c>
      <c r="G124" s="21" t="s">
        <v>43</v>
      </c>
      <c r="H124" s="19" t="s">
        <v>44</v>
      </c>
      <c r="I124" s="19"/>
      <c r="J124" s="19" t="s">
        <v>68</v>
      </c>
      <c r="K124" s="19" t="s">
        <v>69</v>
      </c>
      <c r="L124" s="19"/>
      <c r="M124" s="19" t="s">
        <v>70</v>
      </c>
      <c r="N124" s="19" t="s">
        <v>720</v>
      </c>
      <c r="O124" s="19" t="s">
        <v>70</v>
      </c>
      <c r="P124" s="19" t="s">
        <v>72</v>
      </c>
      <c r="Q124" s="19" t="s">
        <v>693</v>
      </c>
      <c r="R124" s="19" t="s">
        <v>721</v>
      </c>
      <c r="S124" s="19"/>
      <c r="T124" s="19" t="s">
        <v>54</v>
      </c>
      <c r="U124" s="19" t="s">
        <v>55</v>
      </c>
      <c r="V124" s="19" t="s">
        <v>101</v>
      </c>
      <c r="W124" s="19" t="s">
        <v>138</v>
      </c>
      <c r="X124" s="19"/>
      <c r="Y124" s="19"/>
      <c r="Z124" s="19" t="s">
        <v>722</v>
      </c>
      <c r="AA124" s="19">
        <v>1</v>
      </c>
      <c r="AB124" s="19">
        <v>1</v>
      </c>
      <c r="AC124" s="19" t="s">
        <v>60</v>
      </c>
      <c r="AD124" s="19" t="s">
        <v>72</v>
      </c>
      <c r="AE124" s="19" t="s">
        <v>190</v>
      </c>
      <c r="AF124" s="19"/>
    </row>
    <row r="125" spans="1:34">
      <c r="A125" s="19">
        <v>118</v>
      </c>
      <c r="B125" s="19" t="s">
        <v>204</v>
      </c>
      <c r="C125" s="19" t="s">
        <v>706</v>
      </c>
      <c r="D125" s="19" t="str">
        <f>HYPERLINK("http://www.henontech.com/fieldsafety/harzard/harzard_show.php?rid=1593&amp;url=harzardrecs.php","粗苯操作室内一名操作工值守，使用非防爆型大功率电器，短路跳闸导致监控设备损坏！")</f>
        <v>粗苯操作室内一名操作工值守，使用非防爆型大功率电器，短路跳闸导致监控设备损坏！</v>
      </c>
      <c r="E125" s="19" t="s">
        <v>723</v>
      </c>
      <c r="F125" s="20" t="s">
        <v>42</v>
      </c>
      <c r="G125" s="21" t="s">
        <v>43</v>
      </c>
      <c r="H125" s="19" t="s">
        <v>44</v>
      </c>
      <c r="I125" s="19" t="s">
        <v>45</v>
      </c>
      <c r="J125" s="19" t="s">
        <v>46</v>
      </c>
      <c r="K125" s="19" t="s">
        <v>145</v>
      </c>
      <c r="L125" s="19" t="s">
        <v>48</v>
      </c>
      <c r="M125" s="19" t="s">
        <v>70</v>
      </c>
      <c r="N125" s="19" t="s">
        <v>724</v>
      </c>
      <c r="O125" s="19" t="s">
        <v>70</v>
      </c>
      <c r="P125" s="19" t="s">
        <v>72</v>
      </c>
      <c r="Q125" s="19" t="s">
        <v>693</v>
      </c>
      <c r="R125" s="19" t="s">
        <v>725</v>
      </c>
      <c r="S125" s="19"/>
      <c r="T125" s="19" t="s">
        <v>100</v>
      </c>
      <c r="U125" s="19" t="s">
        <v>192</v>
      </c>
      <c r="V125" s="19" t="s">
        <v>56</v>
      </c>
      <c r="W125" s="19" t="s">
        <v>77</v>
      </c>
      <c r="X125" s="19"/>
      <c r="Y125" s="19"/>
      <c r="Z125" s="19" t="s">
        <v>726</v>
      </c>
      <c r="AA125" s="19">
        <v>1</v>
      </c>
      <c r="AB125" s="19">
        <v>1</v>
      </c>
      <c r="AC125" s="19" t="s">
        <v>60</v>
      </c>
      <c r="AD125" s="19" t="s">
        <v>72</v>
      </c>
      <c r="AE125" s="19" t="s">
        <v>727</v>
      </c>
      <c r="AF125" s="19"/>
    </row>
    <row r="126" spans="1:34" customHeight="1" ht="42">
      <c r="A126" s="19">
        <v>119</v>
      </c>
      <c r="B126" s="19" t="s">
        <v>204</v>
      </c>
      <c r="C126" s="19" t="s">
        <v>115</v>
      </c>
      <c r="D126" s="19" t="str">
        <f>HYPERLINK("http://www.henontech.com/fieldsafety/harzard/harzard_show.php?rid=1594&amp;url=harzardrecs.php","4.3米脱离脱硝一电缆放置在电机联轴器的转动轴上，如果操作人员不慎触碰到被电机磨破的电缆上，造成人员触电的死亡事故")</f>
        <v>4.3米脱离脱硝一电缆放置在电机联轴器的转动轴上，如果操作人员不慎触碰到被电机磨破的电缆上，造成人员触电的死亡事故</v>
      </c>
      <c r="E126" s="19" t="s">
        <v>698</v>
      </c>
      <c r="F126" s="20" t="s">
        <v>42</v>
      </c>
      <c r="G126" s="21" t="s">
        <v>43</v>
      </c>
      <c r="H126" s="19" t="s">
        <v>44</v>
      </c>
      <c r="I126" s="19"/>
      <c r="J126" s="19" t="s">
        <v>46</v>
      </c>
      <c r="K126" s="19"/>
      <c r="L126" s="19"/>
      <c r="M126" s="19" t="s">
        <v>117</v>
      </c>
      <c r="N126" s="19" t="s">
        <v>233</v>
      </c>
      <c r="O126" s="19" t="s">
        <v>117</v>
      </c>
      <c r="P126" s="19" t="s">
        <v>636</v>
      </c>
      <c r="Q126" s="19" t="s">
        <v>693</v>
      </c>
      <c r="R126" s="19" t="s">
        <v>728</v>
      </c>
      <c r="S126" s="19"/>
      <c r="T126" s="19" t="s">
        <v>54</v>
      </c>
      <c r="U126" s="19" t="s">
        <v>121</v>
      </c>
      <c r="V126" s="19" t="s">
        <v>101</v>
      </c>
      <c r="W126" s="19" t="s">
        <v>57</v>
      </c>
      <c r="X126" s="19" t="s">
        <v>235</v>
      </c>
      <c r="Y126" s="19" t="s">
        <v>235</v>
      </c>
      <c r="Z126" s="19" t="s">
        <v>729</v>
      </c>
      <c r="AA126" s="19">
        <v>2</v>
      </c>
      <c r="AB126" s="19">
        <v>0</v>
      </c>
      <c r="AC126" s="19" t="s">
        <v>60</v>
      </c>
      <c r="AD126" s="19" t="s">
        <v>636</v>
      </c>
      <c r="AE126" s="19" t="s">
        <v>406</v>
      </c>
      <c r="AF126" s="19" t="s">
        <v>640</v>
      </c>
    </row>
    <row r="127" spans="1:34">
      <c r="A127" s="19">
        <v>120</v>
      </c>
      <c r="B127" s="19" t="s">
        <v>204</v>
      </c>
      <c r="C127" s="19" t="s">
        <v>730</v>
      </c>
      <c r="D127" s="19" t="str">
        <f>HYPERLINK("http://www.henontech.com/fieldsafety/harzard/harzard_show.php?rid=1595&amp;url=harzardrecs.php","超滤排水沟盖板缺失，中夜班视线差，来回巡检不慎踩空")</f>
        <v>超滤排水沟盖板缺失，中夜班视线差，来回巡检不慎踩空</v>
      </c>
      <c r="E127" s="19" t="s">
        <v>731</v>
      </c>
      <c r="F127" s="20" t="s">
        <v>42</v>
      </c>
      <c r="G127" s="21" t="s">
        <v>43</v>
      </c>
      <c r="H127" s="19" t="s">
        <v>44</v>
      </c>
      <c r="I127" s="19" t="s">
        <v>45</v>
      </c>
      <c r="J127" s="19" t="s">
        <v>68</v>
      </c>
      <c r="K127" s="19" t="s">
        <v>145</v>
      </c>
      <c r="L127" s="19" t="s">
        <v>48</v>
      </c>
      <c r="M127" s="19" t="s">
        <v>49</v>
      </c>
      <c r="N127" s="19" t="s">
        <v>50</v>
      </c>
      <c r="O127" s="19" t="s">
        <v>49</v>
      </c>
      <c r="P127" s="19" t="s">
        <v>523</v>
      </c>
      <c r="Q127" s="19" t="s">
        <v>448</v>
      </c>
      <c r="R127" s="19" t="s">
        <v>732</v>
      </c>
      <c r="S127" s="19"/>
      <c r="T127" s="19" t="s">
        <v>54</v>
      </c>
      <c r="U127" s="19" t="s">
        <v>55</v>
      </c>
      <c r="V127" s="19" t="s">
        <v>56</v>
      </c>
      <c r="W127" s="19" t="s">
        <v>57</v>
      </c>
      <c r="X127" s="19" t="s">
        <v>58</v>
      </c>
      <c r="Y127" s="19" t="s">
        <v>58</v>
      </c>
      <c r="Z127" s="19" t="s">
        <v>733</v>
      </c>
      <c r="AA127" s="19">
        <v>1</v>
      </c>
      <c r="AB127" s="19">
        <v>1</v>
      </c>
      <c r="AC127" s="19" t="s">
        <v>60</v>
      </c>
      <c r="AD127" s="19" t="s">
        <v>523</v>
      </c>
      <c r="AE127" s="19" t="s">
        <v>262</v>
      </c>
      <c r="AF127" s="19" t="s">
        <v>62</v>
      </c>
    </row>
    <row r="128" spans="1:34" customHeight="1" ht="42">
      <c r="A128" s="19">
        <v>121</v>
      </c>
      <c r="B128" s="19" t="s">
        <v>204</v>
      </c>
      <c r="C128" s="19" t="s">
        <v>195</v>
      </c>
      <c r="D128" s="19" t="str">
        <f>HYPERLINK("http://www.henontech.com/fieldsafety/harzard/harzard_show.php?rid=1596&amp;url=harzardrecs.php","5.5米焦炉拦焦车前头堵烟用的梯子出护栏开焊，一员工靠近护栏时，不慎从上面摔落，摔伤头部，送医抢救")</f>
        <v>5.5米焦炉拦焦车前头堵烟用的梯子出护栏开焊，一员工靠近护栏时，不慎从上面摔落，摔伤头部，送医抢救</v>
      </c>
      <c r="E128" s="19" t="s">
        <v>734</v>
      </c>
      <c r="F128" s="20" t="s">
        <v>42</v>
      </c>
      <c r="G128" s="22" t="s">
        <v>66</v>
      </c>
      <c r="H128" s="19" t="s">
        <v>44</v>
      </c>
      <c r="I128" s="19" t="s">
        <v>67</v>
      </c>
      <c r="J128" s="19" t="s">
        <v>46</v>
      </c>
      <c r="K128" s="19" t="s">
        <v>69</v>
      </c>
      <c r="L128" s="19" t="s">
        <v>48</v>
      </c>
      <c r="M128" s="19" t="s">
        <v>117</v>
      </c>
      <c r="N128" s="19" t="s">
        <v>735</v>
      </c>
      <c r="O128" s="19" t="s">
        <v>117</v>
      </c>
      <c r="P128" s="19" t="s">
        <v>169</v>
      </c>
      <c r="Q128" s="19" t="s">
        <v>448</v>
      </c>
      <c r="R128" s="19" t="s">
        <v>736</v>
      </c>
      <c r="S128" s="19"/>
      <c r="T128" s="19" t="s">
        <v>54</v>
      </c>
      <c r="U128" s="19" t="s">
        <v>121</v>
      </c>
      <c r="V128" s="19" t="s">
        <v>56</v>
      </c>
      <c r="W128" s="19" t="s">
        <v>122</v>
      </c>
      <c r="X128" s="19" t="s">
        <v>58</v>
      </c>
      <c r="Y128" s="19"/>
      <c r="Z128" s="19" t="s">
        <v>737</v>
      </c>
      <c r="AA128" s="19">
        <v>2</v>
      </c>
      <c r="AB128" s="19">
        <v>2</v>
      </c>
      <c r="AC128" s="19" t="s">
        <v>60</v>
      </c>
      <c r="AD128" s="19" t="s">
        <v>169</v>
      </c>
      <c r="AE128" s="19" t="s">
        <v>190</v>
      </c>
      <c r="AF128" s="19"/>
    </row>
    <row r="129" spans="1:34" customHeight="1" ht="42">
      <c r="A129" s="19">
        <v>122</v>
      </c>
      <c r="B129" s="19" t="s">
        <v>204</v>
      </c>
      <c r="C129" s="19" t="s">
        <v>195</v>
      </c>
      <c r="D129" s="19" t="str">
        <f>HYPERLINK("http://www.henontech.com/fieldsafety/harzard/harzard_show.php?rid=1597&amp;url=harzardrecs.php","一员工到此平台堵烟时，由于底部铁板腐蚀严重，不负载重，人员从平台跌落地面，摔伤头部，紧急送医。")</f>
        <v>一员工到此平台堵烟时，由于底部铁板腐蚀严重，不负载重，人员从平台跌落地面，摔伤头部，紧急送医。</v>
      </c>
      <c r="E129" s="19" t="s">
        <v>738</v>
      </c>
      <c r="F129" s="20" t="s">
        <v>42</v>
      </c>
      <c r="G129" s="22" t="s">
        <v>66</v>
      </c>
      <c r="H129" s="19" t="s">
        <v>44</v>
      </c>
      <c r="I129" s="19" t="s">
        <v>67</v>
      </c>
      <c r="J129" s="19" t="s">
        <v>46</v>
      </c>
      <c r="K129" s="19" t="s">
        <v>69</v>
      </c>
      <c r="L129" s="19" t="s">
        <v>48</v>
      </c>
      <c r="M129" s="19" t="s">
        <v>117</v>
      </c>
      <c r="N129" s="19" t="s">
        <v>739</v>
      </c>
      <c r="O129" s="19" t="s">
        <v>117</v>
      </c>
      <c r="P129" s="19" t="s">
        <v>169</v>
      </c>
      <c r="Q129" s="19" t="s">
        <v>448</v>
      </c>
      <c r="R129" s="19" t="s">
        <v>736</v>
      </c>
      <c r="S129" s="19"/>
      <c r="T129" s="19" t="s">
        <v>54</v>
      </c>
      <c r="U129" s="19" t="s">
        <v>121</v>
      </c>
      <c r="V129" s="19" t="s">
        <v>56</v>
      </c>
      <c r="W129" s="19" t="s">
        <v>122</v>
      </c>
      <c r="X129" s="19"/>
      <c r="Y129" s="19"/>
      <c r="Z129" s="19" t="s">
        <v>740</v>
      </c>
      <c r="AA129" s="19">
        <v>2</v>
      </c>
      <c r="AB129" s="19">
        <v>2</v>
      </c>
      <c r="AC129" s="19" t="s">
        <v>60</v>
      </c>
      <c r="AD129" s="19" t="s">
        <v>169</v>
      </c>
      <c r="AE129" s="19" t="s">
        <v>190</v>
      </c>
      <c r="AF129" s="19"/>
    </row>
    <row r="130" spans="1:34">
      <c r="A130" s="19">
        <v>123</v>
      </c>
      <c r="B130" s="19" t="s">
        <v>204</v>
      </c>
      <c r="C130" s="19" t="s">
        <v>364</v>
      </c>
      <c r="D130" s="19" t="str">
        <f>HYPERLINK("http://www.henontech.com/fieldsafety/harzard/harzard_show.php?rid=1598&amp;url=harzardrecs.php","转化循环水配电室配电盘挡雨板未及时撤除，当操作工巡检或开停水泵启用关闭按钮时，由于劳保防护不当及作业环境未辩识到位，不慎将面部划伤，送医救治。")</f>
        <v>转化循环水配电室配电盘挡雨板未及时撤除，当操作工巡检或开停水泵启用关闭按钮时，由于劳保防护不当及作业环境未辩识到位，不慎将面部划伤，送医救治。</v>
      </c>
      <c r="E130" s="19" t="s">
        <v>741</v>
      </c>
      <c r="F130" s="20" t="s">
        <v>42</v>
      </c>
      <c r="G130" s="21" t="s">
        <v>43</v>
      </c>
      <c r="H130" s="19" t="s">
        <v>44</v>
      </c>
      <c r="I130" s="19" t="s">
        <v>45</v>
      </c>
      <c r="J130" s="19" t="s">
        <v>46</v>
      </c>
      <c r="K130" s="19" t="s">
        <v>145</v>
      </c>
      <c r="L130" s="19" t="s">
        <v>48</v>
      </c>
      <c r="M130" s="19" t="s">
        <v>96</v>
      </c>
      <c r="N130" s="19" t="s">
        <v>97</v>
      </c>
      <c r="O130" s="19" t="s">
        <v>96</v>
      </c>
      <c r="P130" s="19" t="s">
        <v>97</v>
      </c>
      <c r="Q130" s="19" t="s">
        <v>457</v>
      </c>
      <c r="R130" s="19" t="s">
        <v>742</v>
      </c>
      <c r="S130" s="19"/>
      <c r="T130" s="19" t="s">
        <v>54</v>
      </c>
      <c r="U130" s="19" t="s">
        <v>55</v>
      </c>
      <c r="V130" s="19" t="s">
        <v>271</v>
      </c>
      <c r="W130" s="19" t="s">
        <v>122</v>
      </c>
      <c r="X130" s="19" t="s">
        <v>743</v>
      </c>
      <c r="Y130" s="19" t="s">
        <v>182</v>
      </c>
      <c r="Z130" s="19" t="s">
        <v>744</v>
      </c>
      <c r="AA130" s="19">
        <v>1</v>
      </c>
      <c r="AB130" s="19">
        <v>1</v>
      </c>
      <c r="AC130" s="19" t="s">
        <v>60</v>
      </c>
      <c r="AD130" s="19" t="s">
        <v>97</v>
      </c>
      <c r="AE130" s="19" t="s">
        <v>125</v>
      </c>
      <c r="AF130" s="19" t="s">
        <v>745</v>
      </c>
    </row>
    <row r="131" spans="1:34">
      <c r="A131" s="19">
        <v>124</v>
      </c>
      <c r="B131" s="19" t="s">
        <v>170</v>
      </c>
      <c r="C131" s="19" t="s">
        <v>385</v>
      </c>
      <c r="D131" s="19" t="str">
        <f>HYPERLINK("http://www.henontech.com/fieldsafety/harzard/harzard_show.php?rid=1599&amp;url=harzardrecs.php","空分液氧贮槽汽化器入口法兰连接处四氟垫破裂，液氧泄漏。维修工在处置过程中因防护不当，不慎造成左手冻伤。")</f>
        <v>空分液氧贮槽汽化器入口法兰连接处四氟垫破裂，液氧泄漏。维修工在处置过程中因防护不当，不慎造成左手冻伤。</v>
      </c>
      <c r="E131" s="19" t="s">
        <v>746</v>
      </c>
      <c r="F131" s="20" t="s">
        <v>42</v>
      </c>
      <c r="G131" s="21" t="s">
        <v>43</v>
      </c>
      <c r="H131" s="19" t="s">
        <v>44</v>
      </c>
      <c r="I131" s="19" t="s">
        <v>45</v>
      </c>
      <c r="J131" s="19" t="s">
        <v>46</v>
      </c>
      <c r="K131" s="19" t="s">
        <v>47</v>
      </c>
      <c r="L131" s="19" t="s">
        <v>48</v>
      </c>
      <c r="M131" s="19" t="s">
        <v>96</v>
      </c>
      <c r="N131" s="19" t="s">
        <v>747</v>
      </c>
      <c r="O131" s="19" t="s">
        <v>96</v>
      </c>
      <c r="P131" s="19" t="s">
        <v>97</v>
      </c>
      <c r="Q131" s="19" t="s">
        <v>457</v>
      </c>
      <c r="R131" s="19" t="s">
        <v>748</v>
      </c>
      <c r="S131" s="19"/>
      <c r="T131" s="19" t="s">
        <v>54</v>
      </c>
      <c r="U131" s="19" t="s">
        <v>55</v>
      </c>
      <c r="V131" s="19" t="s">
        <v>271</v>
      </c>
      <c r="W131" s="19" t="s">
        <v>122</v>
      </c>
      <c r="X131" s="19" t="s">
        <v>743</v>
      </c>
      <c r="Y131" s="19" t="s">
        <v>182</v>
      </c>
      <c r="Z131" s="19" t="s">
        <v>749</v>
      </c>
      <c r="AA131" s="19">
        <v>1</v>
      </c>
      <c r="AB131" s="19">
        <v>1</v>
      </c>
      <c r="AC131" s="19" t="s">
        <v>60</v>
      </c>
      <c r="AD131" s="19" t="s">
        <v>97</v>
      </c>
      <c r="AE131" s="19" t="s">
        <v>103</v>
      </c>
      <c r="AF131" s="19" t="s">
        <v>750</v>
      </c>
    </row>
    <row r="132" spans="1:34">
      <c r="A132" s="19">
        <v>125</v>
      </c>
      <c r="B132" s="19" t="s">
        <v>170</v>
      </c>
      <c r="C132" s="19" t="s">
        <v>364</v>
      </c>
      <c r="D132" s="19" t="str">
        <f>HYPERLINK("http://www.henontech.com/fieldsafety/harzard/harzard_show.php?rid=1600&amp;url=harzardrecs.php","地磅路面破损的钢筋裸露，载货车经过被钢筋扎带爆胎，飞起石子将经过的一名转化巡检人员面部击伤。")</f>
        <v>地磅路面破损的钢筋裸露，载货车经过被钢筋扎带爆胎，飞起石子将经过的一名转化巡检人员面部击伤。</v>
      </c>
      <c r="E132" s="19" t="s">
        <v>751</v>
      </c>
      <c r="F132" s="20" t="s">
        <v>42</v>
      </c>
      <c r="G132" s="21" t="s">
        <v>43</v>
      </c>
      <c r="H132" s="19" t="s">
        <v>44</v>
      </c>
      <c r="I132" s="19" t="s">
        <v>45</v>
      </c>
      <c r="J132" s="19" t="s">
        <v>46</v>
      </c>
      <c r="K132" s="19" t="s">
        <v>209</v>
      </c>
      <c r="L132" s="19" t="s">
        <v>48</v>
      </c>
      <c r="M132" s="19" t="s">
        <v>96</v>
      </c>
      <c r="N132" s="19" t="s">
        <v>752</v>
      </c>
      <c r="O132" s="19" t="s">
        <v>96</v>
      </c>
      <c r="P132" s="19" t="s">
        <v>97</v>
      </c>
      <c r="Q132" s="19" t="s">
        <v>457</v>
      </c>
      <c r="R132" s="19" t="s">
        <v>742</v>
      </c>
      <c r="S132" s="19"/>
      <c r="T132" s="19" t="s">
        <v>54</v>
      </c>
      <c r="U132" s="19" t="s">
        <v>55</v>
      </c>
      <c r="V132" s="19" t="s">
        <v>271</v>
      </c>
      <c r="W132" s="19" t="s">
        <v>122</v>
      </c>
      <c r="X132" s="19" t="s">
        <v>182</v>
      </c>
      <c r="Y132" s="19" t="s">
        <v>753</v>
      </c>
      <c r="Z132" s="19" t="s">
        <v>754</v>
      </c>
      <c r="AA132" s="19">
        <v>1</v>
      </c>
      <c r="AB132" s="19">
        <v>1</v>
      </c>
      <c r="AC132" s="19" t="s">
        <v>60</v>
      </c>
      <c r="AD132" s="19" t="s">
        <v>97</v>
      </c>
      <c r="AE132" s="19" t="s">
        <v>103</v>
      </c>
      <c r="AF132" s="19" t="s">
        <v>755</v>
      </c>
    </row>
    <row r="133" spans="1:34">
      <c r="A133" s="19">
        <v>126</v>
      </c>
      <c r="B133" s="19" t="s">
        <v>170</v>
      </c>
      <c r="C133" s="19" t="s">
        <v>756</v>
      </c>
      <c r="D133" s="19" t="str">
        <f>HYPERLINK("http://www.henontech.com/fieldsafety/harzard/harzard_show.php?rid=1601&amp;url=harzardrecs.php","转化炉爬梯警示牌悬挂在踏步上，操作人员上爬梯时，踏步狭窄，不小心踩空跌落到平台上，造成小腿磕碰淤青")</f>
        <v>转化炉爬梯警示牌悬挂在踏步上，操作人员上爬梯时，踏步狭窄，不小心踩空跌落到平台上，造成小腿磕碰淤青</v>
      </c>
      <c r="E133" s="19" t="s">
        <v>757</v>
      </c>
      <c r="F133" s="20" t="s">
        <v>42</v>
      </c>
      <c r="G133" s="21" t="s">
        <v>43</v>
      </c>
      <c r="H133" s="19" t="s">
        <v>44</v>
      </c>
      <c r="I133" s="19" t="s">
        <v>83</v>
      </c>
      <c r="J133" s="19"/>
      <c r="K133" s="19"/>
      <c r="L133" s="19"/>
      <c r="M133" s="19" t="s">
        <v>96</v>
      </c>
      <c r="N133" s="19" t="s">
        <v>355</v>
      </c>
      <c r="O133" s="19" t="s">
        <v>96</v>
      </c>
      <c r="P133" s="19" t="s">
        <v>180</v>
      </c>
      <c r="Q133" s="19" t="s">
        <v>174</v>
      </c>
      <c r="R133" s="19" t="s">
        <v>758</v>
      </c>
      <c r="S133" s="19"/>
      <c r="T133" s="19" t="s">
        <v>54</v>
      </c>
      <c r="U133" s="19" t="s">
        <v>75</v>
      </c>
      <c r="V133" s="19" t="s">
        <v>271</v>
      </c>
      <c r="W133" s="19" t="s">
        <v>57</v>
      </c>
      <c r="X133" s="19" t="s">
        <v>182</v>
      </c>
      <c r="Y133" s="19" t="s">
        <v>182</v>
      </c>
      <c r="Z133" s="19" t="s">
        <v>759</v>
      </c>
      <c r="AA133" s="19">
        <v>1</v>
      </c>
      <c r="AB133" s="19">
        <v>1</v>
      </c>
      <c r="AC133" s="19" t="s">
        <v>60</v>
      </c>
      <c r="AD133" s="19" t="s">
        <v>180</v>
      </c>
      <c r="AE133" s="19" t="s">
        <v>170</v>
      </c>
      <c r="AF133" s="19"/>
    </row>
    <row r="134" spans="1:34">
      <c r="A134" s="19">
        <v>127</v>
      </c>
      <c r="B134" s="19" t="s">
        <v>170</v>
      </c>
      <c r="C134" s="19" t="s">
        <v>323</v>
      </c>
      <c r="D134" s="19" t="str">
        <f>HYPERLINK("http://www.henontech.com/fieldsafety/harzard/harzard_show.php?rid=1602&amp;url=harzardrecs.php","电动葫芦挂钩滑轮在吊装货物时，因滑轮质量问题，被钢丝绳割裂。")</f>
        <v>电动葫芦挂钩滑轮在吊装货物时，因滑轮质量问题，被钢丝绳割裂。</v>
      </c>
      <c r="E134" s="19" t="s">
        <v>760</v>
      </c>
      <c r="F134" s="20" t="s">
        <v>42</v>
      </c>
      <c r="G134" s="21" t="s">
        <v>43</v>
      </c>
      <c r="H134" s="19" t="s">
        <v>44</v>
      </c>
      <c r="I134" s="19" t="s">
        <v>761</v>
      </c>
      <c r="J134" s="19" t="s">
        <v>46</v>
      </c>
      <c r="K134" s="19" t="s">
        <v>47</v>
      </c>
      <c r="L134" s="19" t="s">
        <v>48</v>
      </c>
      <c r="M134" s="19" t="s">
        <v>96</v>
      </c>
      <c r="N134" s="19" t="s">
        <v>97</v>
      </c>
      <c r="O134" s="19" t="s">
        <v>96</v>
      </c>
      <c r="P134" s="19" t="s">
        <v>340</v>
      </c>
      <c r="Q134" s="19" t="s">
        <v>762</v>
      </c>
      <c r="R134" s="19" t="s">
        <v>763</v>
      </c>
      <c r="S134" s="19"/>
      <c r="T134" s="19" t="s">
        <v>54</v>
      </c>
      <c r="U134" s="19" t="s">
        <v>55</v>
      </c>
      <c r="V134" s="19" t="s">
        <v>56</v>
      </c>
      <c r="W134" s="19" t="s">
        <v>57</v>
      </c>
      <c r="X134" s="19" t="s">
        <v>235</v>
      </c>
      <c r="Y134" s="19" t="s">
        <v>235</v>
      </c>
      <c r="Z134" s="19" t="s">
        <v>764</v>
      </c>
      <c r="AA134" s="19">
        <v>1</v>
      </c>
      <c r="AB134" s="19">
        <v>1</v>
      </c>
      <c r="AC134" s="19" t="s">
        <v>60</v>
      </c>
      <c r="AD134" s="19" t="s">
        <v>340</v>
      </c>
      <c r="AE134" s="19" t="s">
        <v>174</v>
      </c>
      <c r="AF134" s="19" t="s">
        <v>765</v>
      </c>
    </row>
    <row r="135" spans="1:34" customHeight="1" ht="42">
      <c r="A135" s="19">
        <v>128</v>
      </c>
      <c r="B135" s="19" t="s">
        <v>170</v>
      </c>
      <c r="C135" s="19" t="s">
        <v>91</v>
      </c>
      <c r="D135" s="19" t="str">
        <f>HYPERLINK("http://www.henontech.com/fieldsafety/harzard/harzard_show.php?rid=1604&amp;url=harzardrecs.php","由于余热回收器是高温设备，没有在未保温位置悬挂防烫伤警示牌，一名操作工在巡检时不慎烫伤手臂，造成轻微烫伤。")</f>
        <v>由于余热回收器是高温设备，没有在未保温位置悬挂防烫伤警示牌，一名操作工在巡检时不慎烫伤手臂，造成轻微烫伤。</v>
      </c>
      <c r="E135" s="19" t="s">
        <v>766</v>
      </c>
      <c r="F135" s="20" t="s">
        <v>42</v>
      </c>
      <c r="G135" s="22" t="s">
        <v>66</v>
      </c>
      <c r="H135" s="19" t="s">
        <v>44</v>
      </c>
      <c r="I135" s="19" t="s">
        <v>45</v>
      </c>
      <c r="J135" s="19" t="s">
        <v>93</v>
      </c>
      <c r="K135" s="19" t="s">
        <v>69</v>
      </c>
      <c r="L135" s="19" t="s">
        <v>48</v>
      </c>
      <c r="M135" s="19" t="s">
        <v>96</v>
      </c>
      <c r="N135" s="19" t="s">
        <v>335</v>
      </c>
      <c r="O135" s="19" t="s">
        <v>96</v>
      </c>
      <c r="P135" s="19" t="s">
        <v>180</v>
      </c>
      <c r="Q135" s="19" t="s">
        <v>377</v>
      </c>
      <c r="R135" s="19" t="s">
        <v>767</v>
      </c>
      <c r="S135" s="19"/>
      <c r="T135" s="19" t="s">
        <v>54</v>
      </c>
      <c r="U135" s="19" t="s">
        <v>75</v>
      </c>
      <c r="V135" s="19" t="s">
        <v>101</v>
      </c>
      <c r="W135" s="19" t="s">
        <v>77</v>
      </c>
      <c r="X135" s="19" t="s">
        <v>235</v>
      </c>
      <c r="Y135" s="19" t="s">
        <v>235</v>
      </c>
      <c r="Z135" s="19" t="s">
        <v>768</v>
      </c>
      <c r="AA135" s="19">
        <v>2</v>
      </c>
      <c r="AB135" s="19">
        <v>2</v>
      </c>
      <c r="AC135" s="19" t="s">
        <v>60</v>
      </c>
      <c r="AD135" s="19" t="s">
        <v>180</v>
      </c>
      <c r="AE135" s="19" t="s">
        <v>174</v>
      </c>
      <c r="AF135" s="19"/>
    </row>
    <row r="136" spans="1:34">
      <c r="A136" s="19">
        <v>129</v>
      </c>
      <c r="B136" s="19" t="s">
        <v>170</v>
      </c>
      <c r="C136" s="19" t="s">
        <v>769</v>
      </c>
      <c r="D136" s="19" t="str">
        <f>HYPERLINK("http://www.henontech.com/fieldsafety/harzard/harzard_show.php?rid=1605&amp;url=harzardrecs.php","2号压缩机电机处防护篦子缺失，巡检人员巡检时踏空跌落，造成一条腿受伤。")</f>
        <v>2号压缩机电机处防护篦子缺失，巡检人员巡检时踏空跌落，造成一条腿受伤。</v>
      </c>
      <c r="E136" s="19" t="s">
        <v>770</v>
      </c>
      <c r="F136" s="20" t="s">
        <v>42</v>
      </c>
      <c r="G136" s="22" t="s">
        <v>66</v>
      </c>
      <c r="H136" s="19" t="s">
        <v>44</v>
      </c>
      <c r="I136" s="19" t="s">
        <v>83</v>
      </c>
      <c r="J136" s="19" t="s">
        <v>68</v>
      </c>
      <c r="K136" s="19" t="s">
        <v>47</v>
      </c>
      <c r="L136" s="19" t="s">
        <v>48</v>
      </c>
      <c r="M136" s="19" t="s">
        <v>96</v>
      </c>
      <c r="N136" s="19" t="s">
        <v>366</v>
      </c>
      <c r="O136" s="19" t="s">
        <v>96</v>
      </c>
      <c r="P136" s="19" t="s">
        <v>180</v>
      </c>
      <c r="Q136" s="19" t="s">
        <v>377</v>
      </c>
      <c r="R136" s="19" t="s">
        <v>771</v>
      </c>
      <c r="S136" s="19"/>
      <c r="T136" s="19" t="s">
        <v>54</v>
      </c>
      <c r="U136" s="19" t="s">
        <v>55</v>
      </c>
      <c r="V136" s="19" t="s">
        <v>101</v>
      </c>
      <c r="W136" s="19" t="s">
        <v>138</v>
      </c>
      <c r="X136" s="19" t="s">
        <v>58</v>
      </c>
      <c r="Y136" s="19" t="s">
        <v>58</v>
      </c>
      <c r="Z136" s="19" t="s">
        <v>772</v>
      </c>
      <c r="AA136" s="19">
        <v>1</v>
      </c>
      <c r="AB136" s="19">
        <v>1</v>
      </c>
      <c r="AC136" s="19" t="s">
        <v>60</v>
      </c>
      <c r="AD136" s="19" t="s">
        <v>180</v>
      </c>
      <c r="AE136" s="19" t="s">
        <v>174</v>
      </c>
      <c r="AF136" s="19"/>
    </row>
    <row r="137" spans="1:34">
      <c r="A137" s="19">
        <v>130</v>
      </c>
      <c r="B137" s="19" t="s">
        <v>170</v>
      </c>
      <c r="C137" s="19" t="s">
        <v>773</v>
      </c>
      <c r="D137" s="19" t="str">
        <f>HYPERLINK("http://www.henontech.com/fieldsafety/harzard/harzard_show.php?rid=1607&amp;url=harzardrecs.php","压缩机房2#空压机接地线断裂，假如操作工在开停机的作业活动中，一旦接地线失去作用，集聚的静电可能导致操作工触电。操作工会身体颤动，休息十分钟，继续工作。")</f>
        <v>压缩机房2#空压机接地线断裂，假如操作工在开停机的作业活动中，一旦接地线失去作用，集聚的静电可能导致操作工触电。操作工会身体颤动，休息十分钟，继续工作。</v>
      </c>
      <c r="E137" s="19" t="s">
        <v>774</v>
      </c>
      <c r="F137" s="20" t="s">
        <v>42</v>
      </c>
      <c r="G137" s="21" t="s">
        <v>43</v>
      </c>
      <c r="H137" s="19" t="s">
        <v>44</v>
      </c>
      <c r="I137" s="19"/>
      <c r="J137" s="19" t="s">
        <v>46</v>
      </c>
      <c r="K137" s="19" t="s">
        <v>145</v>
      </c>
      <c r="L137" s="19" t="s">
        <v>48</v>
      </c>
      <c r="M137" s="19" t="s">
        <v>70</v>
      </c>
      <c r="N137" s="19" t="s">
        <v>775</v>
      </c>
      <c r="O137" s="19" t="s">
        <v>70</v>
      </c>
      <c r="P137" s="19" t="s">
        <v>72</v>
      </c>
      <c r="Q137" s="19" t="s">
        <v>762</v>
      </c>
      <c r="R137" s="19" t="s">
        <v>776</v>
      </c>
      <c r="S137" s="19"/>
      <c r="T137" s="19" t="s">
        <v>54</v>
      </c>
      <c r="U137" s="19" t="s">
        <v>192</v>
      </c>
      <c r="V137" s="19" t="s">
        <v>101</v>
      </c>
      <c r="W137" s="19" t="s">
        <v>77</v>
      </c>
      <c r="X137" s="19"/>
      <c r="Y137" s="19"/>
      <c r="Z137" s="19" t="s">
        <v>777</v>
      </c>
      <c r="AA137" s="19">
        <v>1</v>
      </c>
      <c r="AB137" s="19">
        <v>1</v>
      </c>
      <c r="AC137" s="19" t="s">
        <v>60</v>
      </c>
      <c r="AD137" s="19" t="s">
        <v>72</v>
      </c>
      <c r="AE137" s="19" t="s">
        <v>778</v>
      </c>
      <c r="AF137" s="19"/>
    </row>
    <row r="138" spans="1:34">
      <c r="A138" s="19">
        <v>131</v>
      </c>
      <c r="B138" s="19" t="s">
        <v>170</v>
      </c>
      <c r="C138" s="19" t="s">
        <v>186</v>
      </c>
      <c r="D138" s="19" t="str">
        <f>HYPERLINK("http://www.henontech.com/fieldsafety/harzard/harzard_show.php?rid=1608&amp;url=harzardrecs.php","碳化岗位回收塔与碳化塔之间的护栏未归位，操作工巡检到此处，不慎被斜放的护栏绊倒")</f>
        <v>碳化岗位回收塔与碳化塔之间的护栏未归位，操作工巡检到此处，不慎被斜放的护栏绊倒</v>
      </c>
      <c r="E138" s="19" t="s">
        <v>779</v>
      </c>
      <c r="F138" s="20" t="s">
        <v>42</v>
      </c>
      <c r="G138" s="22" t="s">
        <v>66</v>
      </c>
      <c r="H138" s="19" t="s">
        <v>44</v>
      </c>
      <c r="I138" s="19" t="s">
        <v>83</v>
      </c>
      <c r="J138" s="19" t="s">
        <v>46</v>
      </c>
      <c r="K138" s="19" t="s">
        <v>69</v>
      </c>
      <c r="L138" s="19" t="s">
        <v>48</v>
      </c>
      <c r="M138" s="19" t="s">
        <v>96</v>
      </c>
      <c r="N138" s="19" t="s">
        <v>339</v>
      </c>
      <c r="O138" s="19" t="s">
        <v>96</v>
      </c>
      <c r="P138" s="19" t="s">
        <v>97</v>
      </c>
      <c r="Q138" s="19" t="s">
        <v>377</v>
      </c>
      <c r="R138" s="19" t="s">
        <v>780</v>
      </c>
      <c r="S138" s="19"/>
      <c r="T138" s="19" t="s">
        <v>54</v>
      </c>
      <c r="U138" s="19" t="s">
        <v>55</v>
      </c>
      <c r="V138" s="19" t="s">
        <v>271</v>
      </c>
      <c r="W138" s="19" t="s">
        <v>122</v>
      </c>
      <c r="X138" s="19" t="s">
        <v>235</v>
      </c>
      <c r="Y138" s="19" t="s">
        <v>235</v>
      </c>
      <c r="Z138" s="19" t="s">
        <v>781</v>
      </c>
      <c r="AA138" s="19">
        <v>1</v>
      </c>
      <c r="AB138" s="19">
        <v>1</v>
      </c>
      <c r="AC138" s="19" t="s">
        <v>60</v>
      </c>
      <c r="AD138" s="19" t="s">
        <v>97</v>
      </c>
      <c r="AE138" s="19" t="s">
        <v>103</v>
      </c>
      <c r="AF138" s="19" t="s">
        <v>782</v>
      </c>
    </row>
    <row r="139" spans="1:34">
      <c r="A139" s="19">
        <v>132</v>
      </c>
      <c r="B139" s="19" t="s">
        <v>170</v>
      </c>
      <c r="C139" s="19" t="s">
        <v>91</v>
      </c>
      <c r="D139" s="19" t="str">
        <f>HYPERLINK("http://www.henontech.com/fieldsafety/harzard/harzard_show.php?rid=1610&amp;url=harzardrecs.php","由于余热回收器蒸汽倒淋地沟铁盖板无把手，一操作工取样时不慎手部烫伤，立即送医务室。")</f>
        <v>由于余热回收器蒸汽倒淋地沟铁盖板无把手，一操作工取样时不慎手部烫伤，立即送医务室。</v>
      </c>
      <c r="E139" s="19" t="s">
        <v>783</v>
      </c>
      <c r="F139" s="20" t="s">
        <v>42</v>
      </c>
      <c r="G139" s="22" t="s">
        <v>66</v>
      </c>
      <c r="H139" s="19" t="s">
        <v>44</v>
      </c>
      <c r="I139" s="19" t="s">
        <v>83</v>
      </c>
      <c r="J139" s="19" t="s">
        <v>93</v>
      </c>
      <c r="K139" s="19" t="s">
        <v>69</v>
      </c>
      <c r="L139" s="19"/>
      <c r="M139" s="19" t="s">
        <v>96</v>
      </c>
      <c r="N139" s="19" t="s">
        <v>784</v>
      </c>
      <c r="O139" s="19" t="s">
        <v>96</v>
      </c>
      <c r="P139" s="19" t="s">
        <v>340</v>
      </c>
      <c r="Q139" s="19" t="s">
        <v>377</v>
      </c>
      <c r="R139" s="19" t="s">
        <v>767</v>
      </c>
      <c r="S139" s="19"/>
      <c r="T139" s="19" t="s">
        <v>54</v>
      </c>
      <c r="U139" s="19" t="s">
        <v>75</v>
      </c>
      <c r="V139" s="19" t="s">
        <v>101</v>
      </c>
      <c r="W139" s="19" t="s">
        <v>77</v>
      </c>
      <c r="X139" s="19" t="s">
        <v>235</v>
      </c>
      <c r="Y139" s="19" t="s">
        <v>235</v>
      </c>
      <c r="Z139" s="19" t="s">
        <v>785</v>
      </c>
      <c r="AA139" s="19">
        <v>1</v>
      </c>
      <c r="AB139" s="19">
        <v>1</v>
      </c>
      <c r="AC139" s="19" t="s">
        <v>60</v>
      </c>
      <c r="AD139" s="19" t="s">
        <v>340</v>
      </c>
      <c r="AE139" s="19" t="s">
        <v>174</v>
      </c>
      <c r="AF139" s="19"/>
    </row>
    <row r="140" spans="1:34">
      <c r="A140" s="19">
        <v>133</v>
      </c>
      <c r="B140" s="19" t="s">
        <v>190</v>
      </c>
      <c r="C140" s="19" t="s">
        <v>786</v>
      </c>
      <c r="D140" s="19" t="str">
        <f>HYPERLINK("http://www.henontech.com/fieldsafety/harzard/harzard_show.php?rid=1612&amp;url=harzardrecs.php","包装间盛下脚料的箱子严重变形，下班后操作工在更换袋子时，劳保防护不当，不慎被三角铁划伤右手")</f>
        <v>包装间盛下脚料的箱子严重变形，下班后操作工在更换袋子时，劳保防护不当，不慎被三角铁划伤右手</v>
      </c>
      <c r="E140" s="19" t="s">
        <v>787</v>
      </c>
      <c r="F140" s="20" t="s">
        <v>42</v>
      </c>
      <c r="G140" s="21" t="s">
        <v>43</v>
      </c>
      <c r="H140" s="19" t="s">
        <v>44</v>
      </c>
      <c r="I140" s="19" t="s">
        <v>788</v>
      </c>
      <c r="J140" s="19" t="s">
        <v>46</v>
      </c>
      <c r="K140" s="19" t="s">
        <v>145</v>
      </c>
      <c r="L140" s="19" t="s">
        <v>48</v>
      </c>
      <c r="M140" s="19" t="s">
        <v>96</v>
      </c>
      <c r="N140" s="19" t="s">
        <v>789</v>
      </c>
      <c r="O140" s="19" t="s">
        <v>96</v>
      </c>
      <c r="P140" s="19" t="s">
        <v>97</v>
      </c>
      <c r="Q140" s="19" t="s">
        <v>377</v>
      </c>
      <c r="R140" s="19" t="s">
        <v>96</v>
      </c>
      <c r="S140" s="19"/>
      <c r="T140" s="19" t="s">
        <v>54</v>
      </c>
      <c r="U140" s="19" t="s">
        <v>55</v>
      </c>
      <c r="V140" s="19" t="s">
        <v>271</v>
      </c>
      <c r="W140" s="19" t="s">
        <v>122</v>
      </c>
      <c r="X140" s="19" t="s">
        <v>235</v>
      </c>
      <c r="Y140" s="19" t="s">
        <v>235</v>
      </c>
      <c r="Z140" s="19" t="s">
        <v>790</v>
      </c>
      <c r="AA140" s="19">
        <v>1</v>
      </c>
      <c r="AB140" s="19">
        <v>1</v>
      </c>
      <c r="AC140" s="19" t="s">
        <v>60</v>
      </c>
      <c r="AD140" s="19" t="s">
        <v>97</v>
      </c>
      <c r="AE140" s="19" t="s">
        <v>103</v>
      </c>
      <c r="AF140" s="19" t="s">
        <v>791</v>
      </c>
    </row>
    <row r="141" spans="1:34">
      <c r="A141" s="19">
        <v>134</v>
      </c>
      <c r="B141" s="19" t="s">
        <v>190</v>
      </c>
      <c r="C141" s="19" t="s">
        <v>549</v>
      </c>
      <c r="D141" s="19" t="str">
        <f>HYPERLINK("http://www.henontech.com/fieldsafety/harzard/harzard_show.php?rid=1613&amp;url=harzardrecs.php","南风机水封槽处灯泡坏，假设中夜班巡检人员对此处进行巡检，未带手电筒，可能会被水封槽处管线绊倒，造成腿部受伤，送医检查小腿骨折，损工两个月。")</f>
        <v>南风机水封槽处灯泡坏，假设中夜班巡检人员对此处进行巡检，未带手电筒，可能会被水封槽处管线绊倒，造成腿部受伤，送医检查小腿骨折，损工两个月。</v>
      </c>
      <c r="E141" s="19" t="s">
        <v>792</v>
      </c>
      <c r="F141" s="20" t="s">
        <v>42</v>
      </c>
      <c r="G141" s="21" t="s">
        <v>43</v>
      </c>
      <c r="H141" s="19" t="s">
        <v>44</v>
      </c>
      <c r="I141" s="19" t="s">
        <v>67</v>
      </c>
      <c r="J141" s="19" t="s">
        <v>46</v>
      </c>
      <c r="K141" s="19" t="s">
        <v>47</v>
      </c>
      <c r="L141" s="19" t="s">
        <v>48</v>
      </c>
      <c r="M141" s="19" t="s">
        <v>70</v>
      </c>
      <c r="N141" s="19" t="s">
        <v>793</v>
      </c>
      <c r="O141" s="19" t="s">
        <v>70</v>
      </c>
      <c r="P141" s="19" t="s">
        <v>72</v>
      </c>
      <c r="Q141" s="19" t="s">
        <v>762</v>
      </c>
      <c r="R141" s="19" t="s">
        <v>794</v>
      </c>
      <c r="S141" s="19"/>
      <c r="T141" s="19" t="s">
        <v>54</v>
      </c>
      <c r="U141" s="19" t="s">
        <v>55</v>
      </c>
      <c r="V141" s="19" t="s">
        <v>101</v>
      </c>
      <c r="W141" s="19" t="s">
        <v>138</v>
      </c>
      <c r="X141" s="19"/>
      <c r="Y141" s="19"/>
      <c r="Z141" s="19" t="s">
        <v>795</v>
      </c>
      <c r="AA141" s="19">
        <v>1</v>
      </c>
      <c r="AB141" s="19">
        <v>1</v>
      </c>
      <c r="AC141" s="19" t="s">
        <v>60</v>
      </c>
      <c r="AD141" s="19" t="s">
        <v>72</v>
      </c>
      <c r="AE141" s="19" t="s">
        <v>544</v>
      </c>
      <c r="AF141" s="19"/>
    </row>
    <row r="142" spans="1:34">
      <c r="A142" s="19">
        <v>135</v>
      </c>
      <c r="B142" s="19" t="s">
        <v>190</v>
      </c>
      <c r="C142" s="19" t="s">
        <v>796</v>
      </c>
      <c r="D142" s="19" t="str">
        <f>HYPERLINK("http://www.henontech.com/fieldsafety/harzard/harzard_show.php?rid=1614&amp;url=harzardrecs.php","合成塔在升温时，使用电炉，因天气原因，风大有雨。合成塔顶部电炉丝接线柱防护罩滑轮未有效固定，被风吹动滑向一侧，失去防雨作用，雨水淋湿接线柱，造成短路，电炉丝跳闸，接线柱烧坏，造成设备损坏和生产系统停车")</f>
        <v>合成塔在升温时，使用电炉，因天气原因，风大有雨。合成塔顶部电炉丝接线柱防护罩滑轮未有效固定，被风吹动滑向一侧，失去防雨作用，雨水淋湿接线柱，造成短路，电炉丝跳闸，接线柱烧坏，造成设备损坏和生产系统停车</v>
      </c>
      <c r="E142" s="19" t="s">
        <v>797</v>
      </c>
      <c r="F142" s="20" t="s">
        <v>42</v>
      </c>
      <c r="G142" s="22" t="s">
        <v>66</v>
      </c>
      <c r="H142" s="19" t="s">
        <v>44</v>
      </c>
      <c r="I142" s="19" t="s">
        <v>67</v>
      </c>
      <c r="J142" s="19" t="s">
        <v>68</v>
      </c>
      <c r="K142" s="19" t="s">
        <v>69</v>
      </c>
      <c r="L142" s="19" t="s">
        <v>48</v>
      </c>
      <c r="M142" s="19" t="s">
        <v>96</v>
      </c>
      <c r="N142" s="19" t="s">
        <v>798</v>
      </c>
      <c r="O142" s="19" t="s">
        <v>96</v>
      </c>
      <c r="P142" s="19" t="s">
        <v>180</v>
      </c>
      <c r="Q142" s="19" t="s">
        <v>569</v>
      </c>
      <c r="R142" s="19" t="s">
        <v>799</v>
      </c>
      <c r="S142" s="19"/>
      <c r="T142" s="19" t="s">
        <v>100</v>
      </c>
      <c r="U142" s="19" t="s">
        <v>192</v>
      </c>
      <c r="V142" s="19" t="s">
        <v>101</v>
      </c>
      <c r="W142" s="19" t="s">
        <v>77</v>
      </c>
      <c r="X142" s="19" t="s">
        <v>235</v>
      </c>
      <c r="Y142" s="19" t="s">
        <v>235</v>
      </c>
      <c r="Z142" s="19" t="s">
        <v>800</v>
      </c>
      <c r="AA142" s="19">
        <v>1</v>
      </c>
      <c r="AB142" s="19">
        <v>1</v>
      </c>
      <c r="AC142" s="19" t="s">
        <v>60</v>
      </c>
      <c r="AD142" s="19" t="s">
        <v>180</v>
      </c>
      <c r="AE142" s="19" t="s">
        <v>174</v>
      </c>
      <c r="AF142" s="19"/>
    </row>
    <row r="143" spans="1:34" customHeight="1" ht="42">
      <c r="A143" s="19">
        <v>136</v>
      </c>
      <c r="B143" s="19" t="s">
        <v>190</v>
      </c>
      <c r="C143" s="19" t="s">
        <v>801</v>
      </c>
      <c r="D143" s="19" t="str">
        <f>HYPERLINK("http://www.henontech.com/fieldsafety/harzard/harzard_show.php?rid=1615&amp;url=harzardrecs.php","老化学水池爬梯顶部平台锈蚀破损，人员行至此处巡检时，可能发生踩空摔伤事故")</f>
        <v>老化学水池爬梯顶部平台锈蚀破损，人员行至此处巡检时，可能发生踩空摔伤事故</v>
      </c>
      <c r="E143" s="19" t="s">
        <v>802</v>
      </c>
      <c r="F143" s="20" t="s">
        <v>42</v>
      </c>
      <c r="G143" s="21" t="s">
        <v>43</v>
      </c>
      <c r="H143" s="19" t="s">
        <v>44</v>
      </c>
      <c r="I143" s="19" t="s">
        <v>45</v>
      </c>
      <c r="J143" s="19" t="s">
        <v>46</v>
      </c>
      <c r="K143" s="19"/>
      <c r="L143" s="19"/>
      <c r="M143" s="19" t="s">
        <v>84</v>
      </c>
      <c r="N143" s="19" t="s">
        <v>803</v>
      </c>
      <c r="O143" s="19" t="s">
        <v>84</v>
      </c>
      <c r="P143" s="19" t="s">
        <v>85</v>
      </c>
      <c r="Q143" s="19" t="s">
        <v>762</v>
      </c>
      <c r="R143" s="19" t="s">
        <v>804</v>
      </c>
      <c r="S143" s="19"/>
      <c r="T143" s="19" t="s">
        <v>54</v>
      </c>
      <c r="U143" s="19" t="s">
        <v>75</v>
      </c>
      <c r="V143" s="19" t="s">
        <v>271</v>
      </c>
      <c r="W143" s="19" t="s">
        <v>57</v>
      </c>
      <c r="X143" s="19" t="s">
        <v>58</v>
      </c>
      <c r="Y143" s="19"/>
      <c r="Z143" s="19" t="s">
        <v>805</v>
      </c>
      <c r="AA143" s="19">
        <v>2</v>
      </c>
      <c r="AB143" s="19">
        <v>2</v>
      </c>
      <c r="AC143" s="19" t="s">
        <v>60</v>
      </c>
      <c r="AD143" s="19" t="s">
        <v>85</v>
      </c>
      <c r="AE143" s="19" t="s">
        <v>262</v>
      </c>
      <c r="AF143" s="19" t="s">
        <v>806</v>
      </c>
    </row>
    <row r="144" spans="1:34" customHeight="1" ht="42">
      <c r="A144" s="19">
        <v>137</v>
      </c>
      <c r="B144" s="19" t="s">
        <v>190</v>
      </c>
      <c r="C144" s="19" t="s">
        <v>81</v>
      </c>
      <c r="D144" s="19" t="str">
        <f>HYPERLINK("http://www.henontech.com/fieldsafety/harzard/harzard_show.php?rid=1616&amp;url=harzardrecs.php","冷渣机南墙电缆进配电室穿墙处未封堵，如有老鼠等进入配电室，可致电缆咬损，突然停电，锅炉停运")</f>
        <v>冷渣机南墙电缆进配电室穿墙处未封堵，如有老鼠等进入配电室，可致电缆咬损，突然停电，锅炉停运</v>
      </c>
      <c r="E144" s="19" t="s">
        <v>807</v>
      </c>
      <c r="F144" s="20" t="s">
        <v>42</v>
      </c>
      <c r="G144" s="21" t="s">
        <v>43</v>
      </c>
      <c r="H144" s="19" t="s">
        <v>44</v>
      </c>
      <c r="I144" s="19" t="s">
        <v>45</v>
      </c>
      <c r="J144" s="19" t="s">
        <v>46</v>
      </c>
      <c r="K144" s="19"/>
      <c r="L144" s="19"/>
      <c r="M144" s="19" t="s">
        <v>84</v>
      </c>
      <c r="N144" s="19" t="s">
        <v>808</v>
      </c>
      <c r="O144" s="19" t="s">
        <v>84</v>
      </c>
      <c r="P144" s="19" t="s">
        <v>809</v>
      </c>
      <c r="Q144" s="19" t="s">
        <v>262</v>
      </c>
      <c r="R144" s="19" t="s">
        <v>810</v>
      </c>
      <c r="S144" s="19"/>
      <c r="T144" s="19" t="s">
        <v>100</v>
      </c>
      <c r="U144" s="19" t="s">
        <v>192</v>
      </c>
      <c r="V144" s="19" t="s">
        <v>101</v>
      </c>
      <c r="W144" s="19" t="s">
        <v>77</v>
      </c>
      <c r="X144" s="19" t="s">
        <v>58</v>
      </c>
      <c r="Y144" s="19"/>
      <c r="Z144" s="19" t="s">
        <v>811</v>
      </c>
      <c r="AA144" s="19">
        <v>2</v>
      </c>
      <c r="AB144" s="19">
        <v>2</v>
      </c>
      <c r="AC144" s="19" t="s">
        <v>60</v>
      </c>
      <c r="AD144" s="19" t="s">
        <v>809</v>
      </c>
      <c r="AE144" s="19" t="s">
        <v>262</v>
      </c>
      <c r="AF144" s="19" t="s">
        <v>812</v>
      </c>
    </row>
    <row r="145" spans="1:34" customHeight="1" ht="42">
      <c r="A145" s="19">
        <v>138</v>
      </c>
      <c r="B145" s="19" t="s">
        <v>190</v>
      </c>
      <c r="C145" s="19" t="s">
        <v>801</v>
      </c>
      <c r="D145" s="19" t="str">
        <f>HYPERLINK("http://www.henontech.com/fieldsafety/harzard/harzard_show.php?rid=1617&amp;url=harzardrecs.php","超滤水箱东侧地沟盖板覆盖不全，可致人员跌落")</f>
        <v>超滤水箱东侧地沟盖板覆盖不全，可致人员跌落</v>
      </c>
      <c r="E145" s="19" t="s">
        <v>813</v>
      </c>
      <c r="F145" s="20" t="s">
        <v>42</v>
      </c>
      <c r="G145" s="21" t="s">
        <v>43</v>
      </c>
      <c r="H145" s="19" t="s">
        <v>44</v>
      </c>
      <c r="I145" s="19" t="s">
        <v>45</v>
      </c>
      <c r="J145" s="19" t="s">
        <v>46</v>
      </c>
      <c r="K145" s="19"/>
      <c r="L145" s="19"/>
      <c r="M145" s="19" t="s">
        <v>84</v>
      </c>
      <c r="N145" s="19" t="s">
        <v>814</v>
      </c>
      <c r="O145" s="19" t="s">
        <v>84</v>
      </c>
      <c r="P145" s="19" t="s">
        <v>85</v>
      </c>
      <c r="Q145" s="19" t="s">
        <v>647</v>
      </c>
      <c r="R145" s="19" t="s">
        <v>815</v>
      </c>
      <c r="S145" s="19"/>
      <c r="T145" s="19" t="s">
        <v>54</v>
      </c>
      <c r="U145" s="19" t="s">
        <v>75</v>
      </c>
      <c r="V145" s="19" t="s">
        <v>271</v>
      </c>
      <c r="W145" s="19" t="s">
        <v>57</v>
      </c>
      <c r="X145" s="19" t="s">
        <v>58</v>
      </c>
      <c r="Y145" s="19"/>
      <c r="Z145" s="19" t="s">
        <v>816</v>
      </c>
      <c r="AA145" s="19">
        <v>2</v>
      </c>
      <c r="AB145" s="19">
        <v>2</v>
      </c>
      <c r="AC145" s="19" t="s">
        <v>60</v>
      </c>
      <c r="AD145" s="19" t="s">
        <v>85</v>
      </c>
      <c r="AE145" s="19" t="s">
        <v>140</v>
      </c>
      <c r="AF145" s="19" t="s">
        <v>817</v>
      </c>
    </row>
    <row r="146" spans="1:34">
      <c r="A146" s="19">
        <v>139</v>
      </c>
      <c r="B146" s="19" t="s">
        <v>190</v>
      </c>
      <c r="C146" s="19" t="s">
        <v>681</v>
      </c>
      <c r="D146" s="19" t="str">
        <f>HYPERLINK("http://www.henontech.com/fieldsafety/harzard/harzard_show.php?rid=1621&amp;url=harzardrecs.php","夜间岗位人员巡检时，途径压缩机平台处，一平台未复位，巡检工掉入平台下")</f>
        <v>夜间岗位人员巡检时，途径压缩机平台处，一平台未复位，巡检工掉入平台下</v>
      </c>
      <c r="E146" s="19" t="s">
        <v>818</v>
      </c>
      <c r="F146" s="20" t="s">
        <v>42</v>
      </c>
      <c r="G146" s="21" t="s">
        <v>43</v>
      </c>
      <c r="H146" s="19" t="s">
        <v>44</v>
      </c>
      <c r="I146" s="19" t="s">
        <v>45</v>
      </c>
      <c r="J146" s="19" t="s">
        <v>46</v>
      </c>
      <c r="K146" s="19" t="s">
        <v>69</v>
      </c>
      <c r="L146" s="19" t="s">
        <v>48</v>
      </c>
      <c r="M146" s="19" t="s">
        <v>96</v>
      </c>
      <c r="N146" s="19" t="s">
        <v>349</v>
      </c>
      <c r="O146" s="19" t="s">
        <v>96</v>
      </c>
      <c r="P146" s="19" t="s">
        <v>189</v>
      </c>
      <c r="Q146" s="19" t="s">
        <v>377</v>
      </c>
      <c r="R146" s="19" t="s">
        <v>819</v>
      </c>
      <c r="S146" s="19"/>
      <c r="T146" s="19" t="s">
        <v>54</v>
      </c>
      <c r="U146" s="19" t="s">
        <v>55</v>
      </c>
      <c r="V146" s="19" t="s">
        <v>56</v>
      </c>
      <c r="W146" s="19" t="s">
        <v>57</v>
      </c>
      <c r="X146" s="19" t="s">
        <v>235</v>
      </c>
      <c r="Y146" s="19" t="s">
        <v>235</v>
      </c>
      <c r="Z146" s="19" t="s">
        <v>820</v>
      </c>
      <c r="AA146" s="19">
        <v>1</v>
      </c>
      <c r="AB146" s="19">
        <v>1</v>
      </c>
      <c r="AC146" s="19" t="s">
        <v>60</v>
      </c>
      <c r="AD146" s="19" t="s">
        <v>189</v>
      </c>
      <c r="AE146" s="19" t="s">
        <v>262</v>
      </c>
      <c r="AF146" s="19"/>
    </row>
    <row r="147" spans="1:34" customHeight="1" ht="42">
      <c r="A147" s="19">
        <v>140</v>
      </c>
      <c r="B147" s="19" t="s">
        <v>190</v>
      </c>
      <c r="C147" s="19" t="s">
        <v>195</v>
      </c>
      <c r="D147" s="19" t="str">
        <f>HYPERLINK("http://www.henontech.com/fieldsafety/harzard/harzard_show.php?rid=1622&amp;url=harzardrecs.php","由于废气油缸底座松动，长时间换向过程中致使油缸掉落，造成废气无法交换，恢复正常需要四个小时维修时间。")</f>
        <v>由于废气油缸底座松动，长时间换向过程中致使油缸掉落，造成废气无法交换，恢复正常需要四个小时维修时间。</v>
      </c>
      <c r="E147" s="19" t="s">
        <v>821</v>
      </c>
      <c r="F147" s="20" t="s">
        <v>42</v>
      </c>
      <c r="G147" s="21" t="s">
        <v>43</v>
      </c>
      <c r="H147" s="19" t="s">
        <v>44</v>
      </c>
      <c r="I147" s="19" t="s">
        <v>437</v>
      </c>
      <c r="J147" s="19" t="s">
        <v>46</v>
      </c>
      <c r="K147" s="19" t="s">
        <v>209</v>
      </c>
      <c r="L147" s="19" t="s">
        <v>48</v>
      </c>
      <c r="M147" s="19" t="s">
        <v>117</v>
      </c>
      <c r="N147" s="19" t="s">
        <v>232</v>
      </c>
      <c r="O147" s="19" t="s">
        <v>117</v>
      </c>
      <c r="P147" s="19" t="s">
        <v>233</v>
      </c>
      <c r="Q147" s="19" t="s">
        <v>762</v>
      </c>
      <c r="R147" s="19" t="s">
        <v>234</v>
      </c>
      <c r="S147" s="19"/>
      <c r="T147" s="19" t="s">
        <v>100</v>
      </c>
      <c r="U147" s="19" t="s">
        <v>192</v>
      </c>
      <c r="V147" s="19" t="s">
        <v>101</v>
      </c>
      <c r="W147" s="19" t="s">
        <v>77</v>
      </c>
      <c r="X147" s="19" t="s">
        <v>235</v>
      </c>
      <c r="Y147" s="19" t="s">
        <v>235</v>
      </c>
      <c r="Z147" s="19" t="s">
        <v>822</v>
      </c>
      <c r="AA147" s="19">
        <v>2</v>
      </c>
      <c r="AB147" s="19">
        <v>2</v>
      </c>
      <c r="AC147" s="19" t="s">
        <v>60</v>
      </c>
      <c r="AD147" s="19" t="s">
        <v>233</v>
      </c>
      <c r="AE147" s="19" t="s">
        <v>321</v>
      </c>
      <c r="AF147" s="19" t="s">
        <v>823</v>
      </c>
    </row>
    <row r="148" spans="1:34">
      <c r="A148" s="19">
        <v>141</v>
      </c>
      <c r="B148" s="19" t="s">
        <v>190</v>
      </c>
      <c r="C148" s="19" t="s">
        <v>824</v>
      </c>
      <c r="D148" s="19" t="str">
        <f>HYPERLINK("http://www.henontech.com/fieldsafety/harzard/harzard_show.php?rid=1623&amp;url=harzardrecs.php","小皮带排焦运行过程中，一巡检人员清理地面散落焦炭至小皮带时，由于缺少护栏防护措施，衣服袖口卷入托辊里导致手部挤伤，送医院治疗，手部骨折损工三个月。")</f>
        <v>小皮带排焦运行过程中，一巡检人员清理地面散落焦炭至小皮带时，由于缺少护栏防护措施，衣服袖口卷入托辊里导致手部挤伤，送医院治疗，手部骨折损工三个月。</v>
      </c>
      <c r="E148" s="19" t="s">
        <v>825</v>
      </c>
      <c r="F148" s="24" t="s">
        <v>387</v>
      </c>
      <c r="G148" s="21" t="s">
        <v>43</v>
      </c>
      <c r="H148" s="19" t="s">
        <v>44</v>
      </c>
      <c r="I148" s="19" t="s">
        <v>388</v>
      </c>
      <c r="J148" s="19" t="s">
        <v>68</v>
      </c>
      <c r="K148" s="19" t="s">
        <v>209</v>
      </c>
      <c r="L148" s="19" t="s">
        <v>48</v>
      </c>
      <c r="M148" s="19" t="s">
        <v>117</v>
      </c>
      <c r="N148" s="19" t="s">
        <v>223</v>
      </c>
      <c r="O148" s="19"/>
      <c r="P148" s="19"/>
      <c r="Q148" s="19"/>
      <c r="R148" s="19" t="s">
        <v>826</v>
      </c>
      <c r="S148" s="19" t="s">
        <v>827</v>
      </c>
      <c r="T148" s="19" t="s">
        <v>54</v>
      </c>
      <c r="U148" s="19" t="s">
        <v>55</v>
      </c>
      <c r="V148" s="19" t="s">
        <v>56</v>
      </c>
      <c r="W148" s="19" t="s">
        <v>57</v>
      </c>
      <c r="X148" s="19"/>
      <c r="Y148" s="19"/>
      <c r="Z148" s="19"/>
      <c r="AA148" s="19">
        <v>0</v>
      </c>
      <c r="AB148" s="19"/>
      <c r="AC148" s="19" t="s">
        <v>392</v>
      </c>
      <c r="AD148" s="19"/>
      <c r="AE148" s="19"/>
      <c r="AF148" s="19"/>
    </row>
    <row r="149" spans="1:34">
      <c r="A149" s="19">
        <v>142</v>
      </c>
      <c r="B149" s="19" t="s">
        <v>174</v>
      </c>
      <c r="C149" s="19" t="s">
        <v>323</v>
      </c>
      <c r="D149" s="19" t="str">
        <f>HYPERLINK("http://www.henontech.com/fieldsafety/harzard/harzard_show.php?rid=1624&amp;url=harzardrecs.php","如果一名精脱巡检工巡检时，当不慎踩入地沟内，左小腿流血送医院治疗，体养3天。")</f>
        <v>如果一名精脱巡检工巡检时，当不慎踩入地沟内，左小腿流血送医院治疗，体养3天。</v>
      </c>
      <c r="E149" s="19" t="s">
        <v>828</v>
      </c>
      <c r="F149" s="20" t="s">
        <v>42</v>
      </c>
      <c r="G149" s="21" t="s">
        <v>43</v>
      </c>
      <c r="H149" s="19" t="s">
        <v>44</v>
      </c>
      <c r="I149" s="19" t="s">
        <v>83</v>
      </c>
      <c r="J149" s="19" t="s">
        <v>46</v>
      </c>
      <c r="K149" s="19" t="s">
        <v>69</v>
      </c>
      <c r="L149" s="19"/>
      <c r="M149" s="19" t="s">
        <v>96</v>
      </c>
      <c r="N149" s="19" t="s">
        <v>829</v>
      </c>
      <c r="O149" s="19" t="s">
        <v>96</v>
      </c>
      <c r="P149" s="19" t="s">
        <v>217</v>
      </c>
      <c r="Q149" s="19" t="s">
        <v>125</v>
      </c>
      <c r="R149" s="19" t="s">
        <v>830</v>
      </c>
      <c r="S149" s="19"/>
      <c r="T149" s="19" t="s">
        <v>54</v>
      </c>
      <c r="U149" s="19" t="s">
        <v>55</v>
      </c>
      <c r="V149" s="19" t="s">
        <v>56</v>
      </c>
      <c r="W149" s="19" t="s">
        <v>57</v>
      </c>
      <c r="X149" s="19" t="s">
        <v>235</v>
      </c>
      <c r="Y149" s="19" t="s">
        <v>235</v>
      </c>
      <c r="Z149" s="19" t="s">
        <v>831</v>
      </c>
      <c r="AA149" s="19">
        <v>1</v>
      </c>
      <c r="AB149" s="19">
        <v>0</v>
      </c>
      <c r="AC149" s="19" t="s">
        <v>60</v>
      </c>
      <c r="AD149" s="19" t="s">
        <v>217</v>
      </c>
      <c r="AE149" s="19" t="s">
        <v>174</v>
      </c>
      <c r="AF149" s="19"/>
    </row>
    <row r="150" spans="1:34">
      <c r="A150" s="19">
        <v>143</v>
      </c>
      <c r="B150" s="19" t="s">
        <v>174</v>
      </c>
      <c r="C150" s="19" t="s">
        <v>353</v>
      </c>
      <c r="D150" s="19" t="str">
        <f>HYPERLINK("http://www.henontech.com/fieldsafety/harzard/harzard_show.php?rid=1625&amp;url=harzardrecs.php","脱硫岗位泡沫泵处泡沫回收小井未有盖板，当维修人员在修泵时，造成人员掉入回收小井，致使大腿扭伤。")</f>
        <v>脱硫岗位泡沫泵处泡沫回收小井未有盖板，当维修人员在修泵时，造成人员掉入回收小井，致使大腿扭伤。</v>
      </c>
      <c r="E150" s="19" t="s">
        <v>832</v>
      </c>
      <c r="F150" s="24" t="s">
        <v>387</v>
      </c>
      <c r="G150" s="21" t="s">
        <v>43</v>
      </c>
      <c r="H150" s="19" t="s">
        <v>44</v>
      </c>
      <c r="I150" s="19" t="s">
        <v>67</v>
      </c>
      <c r="J150" s="19" t="s">
        <v>46</v>
      </c>
      <c r="K150" s="19" t="s">
        <v>69</v>
      </c>
      <c r="L150" s="19" t="s">
        <v>48</v>
      </c>
      <c r="M150" s="19" t="s">
        <v>96</v>
      </c>
      <c r="N150" s="19" t="s">
        <v>833</v>
      </c>
      <c r="O150" s="19"/>
      <c r="P150" s="19"/>
      <c r="Q150" s="19"/>
      <c r="R150" s="19" t="s">
        <v>834</v>
      </c>
      <c r="S150" s="19" t="s">
        <v>835</v>
      </c>
      <c r="T150" s="19" t="s">
        <v>54</v>
      </c>
      <c r="U150" s="19" t="s">
        <v>55</v>
      </c>
      <c r="V150" s="19" t="s">
        <v>101</v>
      </c>
      <c r="W150" s="19" t="s">
        <v>138</v>
      </c>
      <c r="X150" s="19"/>
      <c r="Y150" s="19"/>
      <c r="Z150" s="19"/>
      <c r="AA150" s="19">
        <v>0</v>
      </c>
      <c r="AB150" s="19"/>
      <c r="AC150" s="19" t="s">
        <v>392</v>
      </c>
      <c r="AD150" s="19"/>
      <c r="AE150" s="19"/>
      <c r="AF150" s="19"/>
    </row>
    <row r="151" spans="1:34">
      <c r="A151" s="19">
        <v>144</v>
      </c>
      <c r="B151" s="19" t="s">
        <v>174</v>
      </c>
      <c r="C151" s="19" t="s">
        <v>796</v>
      </c>
      <c r="D151" s="19" t="str">
        <f>HYPERLINK("http://www.henontech.com/fieldsafety/harzard/harzard_show.php?rid=1626&amp;url=harzardrecs.php","离心晶分池盖板未盖，当操作工巡检到该部位，左脚被盖板绊倒，造成手部损伤，损工一周。")</f>
        <v>离心晶分池盖板未盖，当操作工巡检到该部位，左脚被盖板绊倒，造成手部损伤，损工一周。</v>
      </c>
      <c r="E151" s="19" t="s">
        <v>836</v>
      </c>
      <c r="F151" s="24" t="s">
        <v>387</v>
      </c>
      <c r="G151" s="21" t="s">
        <v>43</v>
      </c>
      <c r="H151" s="19" t="s">
        <v>44</v>
      </c>
      <c r="I151" s="19" t="s">
        <v>83</v>
      </c>
      <c r="J151" s="19" t="s">
        <v>46</v>
      </c>
      <c r="K151" s="19" t="s">
        <v>69</v>
      </c>
      <c r="L151" s="19"/>
      <c r="M151" s="19" t="s">
        <v>96</v>
      </c>
      <c r="N151" s="19" t="s">
        <v>217</v>
      </c>
      <c r="O151" s="19"/>
      <c r="P151" s="19"/>
      <c r="Q151" s="19"/>
      <c r="R151" s="19" t="s">
        <v>837</v>
      </c>
      <c r="S151" s="19" t="s">
        <v>838</v>
      </c>
      <c r="T151" s="19" t="s">
        <v>54</v>
      </c>
      <c r="U151" s="19" t="s">
        <v>55</v>
      </c>
      <c r="V151" s="19" t="s">
        <v>56</v>
      </c>
      <c r="W151" s="19" t="s">
        <v>57</v>
      </c>
      <c r="X151" s="19"/>
      <c r="Y151" s="19"/>
      <c r="Z151" s="19"/>
      <c r="AA151" s="19">
        <v>0</v>
      </c>
      <c r="AB151" s="19"/>
      <c r="AC151" s="19" t="s">
        <v>392</v>
      </c>
      <c r="AD151" s="19"/>
      <c r="AE151" s="19"/>
      <c r="AF151" s="19"/>
    </row>
    <row r="152" spans="1:34">
      <c r="A152" s="19">
        <v>145</v>
      </c>
      <c r="B152" s="19" t="s">
        <v>174</v>
      </c>
      <c r="C152" s="19" t="s">
        <v>176</v>
      </c>
      <c r="D152" s="19" t="str">
        <f>HYPERLINK("http://www.henontech.com/fieldsafety/harzard/harzard_show.php?rid=1627&amp;url=harzardrecs.php","泡沫泵处泡沫回收小井无盖板，当维修人员修泵时，一人掉入小井，造成成腿部扭伤。")</f>
        <v>泡沫泵处泡沫回收小井无盖板，当维修人员修泵时，一人掉入小井，造成成腿部扭伤。</v>
      </c>
      <c r="E152" s="19" t="s">
        <v>839</v>
      </c>
      <c r="F152" s="20" t="s">
        <v>42</v>
      </c>
      <c r="G152" s="21" t="s">
        <v>43</v>
      </c>
      <c r="H152" s="19" t="s">
        <v>44</v>
      </c>
      <c r="I152" s="19" t="s">
        <v>67</v>
      </c>
      <c r="J152" s="19" t="s">
        <v>46</v>
      </c>
      <c r="K152" s="19" t="s">
        <v>69</v>
      </c>
      <c r="L152" s="19" t="s">
        <v>48</v>
      </c>
      <c r="M152" s="19" t="s">
        <v>96</v>
      </c>
      <c r="N152" s="19" t="s">
        <v>833</v>
      </c>
      <c r="O152" s="19" t="s">
        <v>96</v>
      </c>
      <c r="P152" s="19" t="s">
        <v>180</v>
      </c>
      <c r="Q152" s="19" t="s">
        <v>655</v>
      </c>
      <c r="R152" s="19" t="s">
        <v>834</v>
      </c>
      <c r="S152" s="19"/>
      <c r="T152" s="19" t="s">
        <v>54</v>
      </c>
      <c r="U152" s="19" t="s">
        <v>55</v>
      </c>
      <c r="V152" s="19" t="s">
        <v>101</v>
      </c>
      <c r="W152" s="19" t="s">
        <v>138</v>
      </c>
      <c r="X152" s="19" t="s">
        <v>713</v>
      </c>
      <c r="Y152" s="19" t="s">
        <v>713</v>
      </c>
      <c r="Z152" s="19" t="s">
        <v>840</v>
      </c>
      <c r="AA152" s="19">
        <v>1</v>
      </c>
      <c r="AB152" s="19">
        <v>1</v>
      </c>
      <c r="AC152" s="19" t="s">
        <v>60</v>
      </c>
      <c r="AD152" s="19" t="s">
        <v>180</v>
      </c>
      <c r="AE152" s="19" t="s">
        <v>377</v>
      </c>
      <c r="AF152" s="19"/>
    </row>
    <row r="153" spans="1:34" customHeight="1" ht="42">
      <c r="A153" s="19">
        <v>146</v>
      </c>
      <c r="B153" s="19" t="s">
        <v>174</v>
      </c>
      <c r="C153" s="19" t="s">
        <v>841</v>
      </c>
      <c r="D153" s="19" t="str">
        <f>HYPERLINK("http://www.henontech.com/fieldsafety/harzard/harzard_show.php?rid=1628&amp;url=harzardrecs.php","碳化塔行吊吊钩上钢丝绳未及时撤除，一名碳化工经此处巡检时因大风将吊钩上钢丝绳刮下砸伤巡检工。立即送往医务室治疗")</f>
        <v>碳化塔行吊吊钩上钢丝绳未及时撤除，一名碳化工经此处巡检时因大风将吊钩上钢丝绳刮下砸伤巡检工。立即送往医务室治疗</v>
      </c>
      <c r="E153" s="19" t="s">
        <v>842</v>
      </c>
      <c r="F153" s="20" t="s">
        <v>42</v>
      </c>
      <c r="G153" s="21" t="s">
        <v>43</v>
      </c>
      <c r="H153" s="19" t="s">
        <v>44</v>
      </c>
      <c r="I153" s="19" t="s">
        <v>83</v>
      </c>
      <c r="J153" s="19"/>
      <c r="K153" s="19" t="s">
        <v>69</v>
      </c>
      <c r="L153" s="19"/>
      <c r="M153" s="19" t="s">
        <v>96</v>
      </c>
      <c r="N153" s="19" t="s">
        <v>843</v>
      </c>
      <c r="O153" s="19" t="s">
        <v>96</v>
      </c>
      <c r="P153" s="19" t="s">
        <v>180</v>
      </c>
      <c r="Q153" s="19" t="s">
        <v>251</v>
      </c>
      <c r="R153" s="19" t="s">
        <v>844</v>
      </c>
      <c r="S153" s="19"/>
      <c r="T153" s="19" t="s">
        <v>54</v>
      </c>
      <c r="U153" s="19" t="s">
        <v>75</v>
      </c>
      <c r="V153" s="19" t="s">
        <v>101</v>
      </c>
      <c r="W153" s="19" t="s">
        <v>77</v>
      </c>
      <c r="X153" s="19" t="s">
        <v>58</v>
      </c>
      <c r="Y153" s="19" t="s">
        <v>58</v>
      </c>
      <c r="Z153" s="19" t="s">
        <v>845</v>
      </c>
      <c r="AA153" s="19">
        <v>2</v>
      </c>
      <c r="AB153" s="19">
        <v>2</v>
      </c>
      <c r="AC153" s="19" t="s">
        <v>60</v>
      </c>
      <c r="AD153" s="19" t="s">
        <v>180</v>
      </c>
      <c r="AE153" s="19" t="s">
        <v>174</v>
      </c>
      <c r="AF153" s="19"/>
    </row>
    <row r="154" spans="1:34">
      <c r="A154" s="19">
        <v>147</v>
      </c>
      <c r="B154" s="19" t="s">
        <v>174</v>
      </c>
      <c r="C154" s="19" t="s">
        <v>347</v>
      </c>
      <c r="D154" s="19" t="str">
        <f>HYPERLINK("http://www.henontech.com/fieldsafety/harzard/harzard_show.php?rid=1629&amp;url=harzardrecs.php","精脱硫塔爬梯护栏开焊，一操作人员爬塔操作，因失误后仰，造成高处坠落，一人损工事故。")</f>
        <v>精脱硫塔爬梯护栏开焊，一操作人员爬塔操作，因失误后仰，造成高处坠落，一人损工事故。</v>
      </c>
      <c r="E154" s="19" t="s">
        <v>846</v>
      </c>
      <c r="F154" s="20" t="s">
        <v>42</v>
      </c>
      <c r="G154" s="21" t="s">
        <v>43</v>
      </c>
      <c r="H154" s="19" t="s">
        <v>44</v>
      </c>
      <c r="I154" s="19" t="s">
        <v>67</v>
      </c>
      <c r="J154" s="19" t="s">
        <v>46</v>
      </c>
      <c r="K154" s="19" t="s">
        <v>69</v>
      </c>
      <c r="L154" s="19"/>
      <c r="M154" s="19" t="s">
        <v>96</v>
      </c>
      <c r="N154" s="19" t="s">
        <v>179</v>
      </c>
      <c r="O154" s="19" t="s">
        <v>96</v>
      </c>
      <c r="P154" s="19" t="s">
        <v>340</v>
      </c>
      <c r="Q154" s="19" t="s">
        <v>655</v>
      </c>
      <c r="R154" s="19" t="s">
        <v>847</v>
      </c>
      <c r="S154" s="19"/>
      <c r="T154" s="19" t="s">
        <v>54</v>
      </c>
      <c r="U154" s="19" t="s">
        <v>55</v>
      </c>
      <c r="V154" s="19" t="s">
        <v>56</v>
      </c>
      <c r="W154" s="19" t="s">
        <v>57</v>
      </c>
      <c r="X154" s="19" t="s">
        <v>58</v>
      </c>
      <c r="Y154" s="19" t="s">
        <v>58</v>
      </c>
      <c r="Z154" s="19" t="s">
        <v>848</v>
      </c>
      <c r="AA154" s="19">
        <v>1</v>
      </c>
      <c r="AB154" s="19">
        <v>1</v>
      </c>
      <c r="AC154" s="19" t="s">
        <v>60</v>
      </c>
      <c r="AD154" s="19" t="s">
        <v>340</v>
      </c>
      <c r="AE154" s="19" t="s">
        <v>321</v>
      </c>
      <c r="AF154" s="19"/>
    </row>
    <row r="155" spans="1:34" customHeight="1" ht="42">
      <c r="A155" s="19">
        <v>148</v>
      </c>
      <c r="B155" s="19" t="s">
        <v>174</v>
      </c>
      <c r="C155" s="19" t="s">
        <v>176</v>
      </c>
      <c r="D155" s="19" t="str">
        <f>HYPERLINK("http://www.henontech.com/fieldsafety/harzard/harzard_show.php?rid=1630&amp;url=harzardrecs.php","沉淀槽人孔盖板没有盖好，1名操作工操作时不慎单脚滑落人孔中，造成大腿骨裂，手臂擦伤，医院就诊治疗7天，休养100天")</f>
        <v>沉淀槽人孔盖板没有盖好，1名操作工操作时不慎单脚滑落人孔中，造成大腿骨裂，手臂擦伤，医院就诊治疗7天，休养100天</v>
      </c>
      <c r="E155" s="19" t="s">
        <v>849</v>
      </c>
      <c r="F155" s="20" t="s">
        <v>42</v>
      </c>
      <c r="G155" s="22" t="s">
        <v>66</v>
      </c>
      <c r="H155" s="19" t="s">
        <v>44</v>
      </c>
      <c r="I155" s="19" t="s">
        <v>67</v>
      </c>
      <c r="J155" s="19" t="s">
        <v>46</v>
      </c>
      <c r="K155" s="19" t="s">
        <v>69</v>
      </c>
      <c r="L155" s="19"/>
      <c r="M155" s="19" t="s">
        <v>96</v>
      </c>
      <c r="N155" s="19" t="s">
        <v>850</v>
      </c>
      <c r="O155" s="19" t="s">
        <v>96</v>
      </c>
      <c r="P155" s="19" t="s">
        <v>180</v>
      </c>
      <c r="Q155" s="19" t="s">
        <v>251</v>
      </c>
      <c r="R155" s="19" t="s">
        <v>851</v>
      </c>
      <c r="S155" s="19"/>
      <c r="T155" s="19" t="s">
        <v>54</v>
      </c>
      <c r="U155" s="19" t="s">
        <v>55</v>
      </c>
      <c r="V155" s="19" t="s">
        <v>101</v>
      </c>
      <c r="W155" s="19" t="s">
        <v>138</v>
      </c>
      <c r="X155" s="19" t="s">
        <v>226</v>
      </c>
      <c r="Y155" s="19" t="s">
        <v>226</v>
      </c>
      <c r="Z155" s="19" t="s">
        <v>852</v>
      </c>
      <c r="AA155" s="19">
        <v>2</v>
      </c>
      <c r="AB155" s="19">
        <v>2</v>
      </c>
      <c r="AC155" s="19" t="s">
        <v>60</v>
      </c>
      <c r="AD155" s="19" t="s">
        <v>180</v>
      </c>
      <c r="AE155" s="19" t="s">
        <v>174</v>
      </c>
      <c r="AF155" s="19"/>
    </row>
    <row r="156" spans="1:34">
      <c r="A156" s="19">
        <v>149</v>
      </c>
      <c r="B156" s="19" t="s">
        <v>174</v>
      </c>
      <c r="C156" s="19" t="s">
        <v>353</v>
      </c>
      <c r="D156" s="19" t="str">
        <f>HYPERLINK("http://www.henontech.com/fieldsafety/harzard/harzard_show.php?rid=1631&amp;url=harzardrecs.php","浓氨槽乳胶管老化，当操作工取样分析浓氨水时，氨水溅入眼内，灼伤眼睛，送医院治疗。")</f>
        <v>浓氨槽乳胶管老化，当操作工取样分析浓氨水时，氨水溅入眼内，灼伤眼睛，送医院治疗。</v>
      </c>
      <c r="E156" s="19" t="s">
        <v>853</v>
      </c>
      <c r="F156" s="20" t="s">
        <v>42</v>
      </c>
      <c r="G156" s="21" t="s">
        <v>43</v>
      </c>
      <c r="H156" s="19" t="s">
        <v>44</v>
      </c>
      <c r="I156" s="19" t="s">
        <v>67</v>
      </c>
      <c r="J156" s="19"/>
      <c r="K156" s="19" t="s">
        <v>69</v>
      </c>
      <c r="L156" s="19" t="s">
        <v>48</v>
      </c>
      <c r="M156" s="19" t="s">
        <v>96</v>
      </c>
      <c r="N156" s="19" t="s">
        <v>854</v>
      </c>
      <c r="O156" s="19" t="s">
        <v>96</v>
      </c>
      <c r="P156" s="19" t="s">
        <v>180</v>
      </c>
      <c r="Q156" s="19" t="s">
        <v>251</v>
      </c>
      <c r="R156" s="19" t="s">
        <v>855</v>
      </c>
      <c r="S156" s="19"/>
      <c r="T156" s="19" t="s">
        <v>54</v>
      </c>
      <c r="U156" s="19" t="s">
        <v>75</v>
      </c>
      <c r="V156" s="19" t="s">
        <v>56</v>
      </c>
      <c r="W156" s="19" t="s">
        <v>138</v>
      </c>
      <c r="X156" s="19" t="s">
        <v>226</v>
      </c>
      <c r="Y156" s="19" t="s">
        <v>226</v>
      </c>
      <c r="Z156" s="19" t="s">
        <v>856</v>
      </c>
      <c r="AA156" s="19">
        <v>1</v>
      </c>
      <c r="AB156" s="19">
        <v>1</v>
      </c>
      <c r="AC156" s="19" t="s">
        <v>60</v>
      </c>
      <c r="AD156" s="19" t="s">
        <v>180</v>
      </c>
      <c r="AE156" s="19" t="s">
        <v>174</v>
      </c>
      <c r="AF156" s="19"/>
    </row>
    <row r="157" spans="1:34">
      <c r="A157" s="19">
        <v>150</v>
      </c>
      <c r="B157" s="19" t="s">
        <v>174</v>
      </c>
      <c r="C157" s="19" t="s">
        <v>841</v>
      </c>
      <c r="D157" s="19" t="str">
        <f>HYPERLINK("http://www.henontech.com/fieldsafety/harzard/harzard_show.php?rid=1632&amp;url=harzardrecs.php","碳铵离心岗位晶分池人孔盖未盖，当操作工巡检到该区域时，不慎被人孔盖绊倒，造成左脚损伤，损工一周。")</f>
        <v>碳铵离心岗位晶分池人孔盖未盖，当操作工巡检到该区域时，不慎被人孔盖绊倒，造成左脚损伤，损工一周。</v>
      </c>
      <c r="E157" s="19" t="s">
        <v>857</v>
      </c>
      <c r="F157" s="20" t="s">
        <v>42</v>
      </c>
      <c r="G157" s="21" t="s">
        <v>43</v>
      </c>
      <c r="H157" s="19" t="s">
        <v>44</v>
      </c>
      <c r="I157" s="19" t="s">
        <v>83</v>
      </c>
      <c r="J157" s="19" t="s">
        <v>46</v>
      </c>
      <c r="K157" s="19" t="s">
        <v>69</v>
      </c>
      <c r="L157" s="19"/>
      <c r="M157" s="19" t="s">
        <v>96</v>
      </c>
      <c r="N157" s="19" t="s">
        <v>217</v>
      </c>
      <c r="O157" s="19" t="s">
        <v>96</v>
      </c>
      <c r="P157" s="19" t="s">
        <v>217</v>
      </c>
      <c r="Q157" s="19" t="s">
        <v>377</v>
      </c>
      <c r="R157" s="19" t="s">
        <v>837</v>
      </c>
      <c r="S157" s="19"/>
      <c r="T157" s="19" t="s">
        <v>54</v>
      </c>
      <c r="U157" s="19" t="s">
        <v>55</v>
      </c>
      <c r="V157" s="19" t="s">
        <v>101</v>
      </c>
      <c r="W157" s="19" t="s">
        <v>138</v>
      </c>
      <c r="X157" s="19" t="s">
        <v>235</v>
      </c>
      <c r="Y157" s="19" t="s">
        <v>235</v>
      </c>
      <c r="Z157" s="19" t="s">
        <v>858</v>
      </c>
      <c r="AA157" s="19">
        <v>1</v>
      </c>
      <c r="AB157" s="19">
        <v>0</v>
      </c>
      <c r="AC157" s="19" t="s">
        <v>60</v>
      </c>
      <c r="AD157" s="19" t="s">
        <v>217</v>
      </c>
      <c r="AE157" s="19" t="s">
        <v>262</v>
      </c>
      <c r="AF157" s="19"/>
    </row>
    <row r="158" spans="1:34" customHeight="1" ht="42">
      <c r="A158" s="19">
        <v>151</v>
      </c>
      <c r="B158" s="19" t="s">
        <v>174</v>
      </c>
      <c r="C158" s="19" t="s">
        <v>859</v>
      </c>
      <c r="D158" s="19" t="str">
        <f>HYPERLINK("http://www.henontech.com/fieldsafety/harzard/harzard_show.php?rid=1633&amp;url=harzardrecs.php","4.3米焦一机尾上部通廊墙体破损60公分，破损部位到通廊底部落差8米且有积水30公分，夜晚照明情况不良，巡检人员巡检此处时不慎跌落，身体受到撞击无法及时起身，被下部积水淹溺窒息死亡。")</f>
        <v>4.3米焦一机尾上部通廊墙体破损60公分，破损部位到通廊底部落差8米且有积水30公分，夜晚照明情况不良，巡检人员巡检此处时不慎跌落，身体受到撞击无法及时起身，被下部积水淹溺窒息死亡。</v>
      </c>
      <c r="E158" s="19" t="s">
        <v>512</v>
      </c>
      <c r="F158" s="20" t="s">
        <v>42</v>
      </c>
      <c r="G158" s="21" t="s">
        <v>43</v>
      </c>
      <c r="H158" s="19" t="s">
        <v>44</v>
      </c>
      <c r="I158" s="19"/>
      <c r="J158" s="19" t="s">
        <v>334</v>
      </c>
      <c r="K158" s="19" t="s">
        <v>209</v>
      </c>
      <c r="L158" s="19"/>
      <c r="M158" s="19" t="s">
        <v>117</v>
      </c>
      <c r="N158" s="19" t="s">
        <v>302</v>
      </c>
      <c r="O158" s="19" t="s">
        <v>117</v>
      </c>
      <c r="P158" s="19" t="s">
        <v>118</v>
      </c>
      <c r="Q158" s="19" t="s">
        <v>655</v>
      </c>
      <c r="R158" s="19" t="s">
        <v>860</v>
      </c>
      <c r="S158" s="19"/>
      <c r="T158" s="19" t="s">
        <v>54</v>
      </c>
      <c r="U158" s="19" t="s">
        <v>121</v>
      </c>
      <c r="V158" s="19" t="s">
        <v>101</v>
      </c>
      <c r="W158" s="19" t="s">
        <v>57</v>
      </c>
      <c r="X158" s="19" t="s">
        <v>235</v>
      </c>
      <c r="Y158" s="19" t="s">
        <v>235</v>
      </c>
      <c r="Z158" s="19" t="s">
        <v>861</v>
      </c>
      <c r="AA158" s="19">
        <v>2</v>
      </c>
      <c r="AB158" s="19">
        <v>0</v>
      </c>
      <c r="AC158" s="19" t="s">
        <v>60</v>
      </c>
      <c r="AD158" s="19" t="s">
        <v>118</v>
      </c>
      <c r="AE158" s="19" t="s">
        <v>406</v>
      </c>
      <c r="AF158" s="19" t="s">
        <v>640</v>
      </c>
    </row>
    <row r="159" spans="1:34">
      <c r="A159" s="19">
        <v>152</v>
      </c>
      <c r="B159" s="19" t="s">
        <v>174</v>
      </c>
      <c r="C159" s="19" t="s">
        <v>862</v>
      </c>
      <c r="D159" s="19" t="str">
        <f>HYPERLINK("http://www.henontech.com/fieldsafety/harzard/harzard_show.php?rid=1634&amp;url=harzardrecs.php","码垛机托盘放置过高，一巡检工在巡检过程中托盘掉落将巡检工背部轻微砸伤。")</f>
        <v>码垛机托盘放置过高，一巡检工在巡检过程中托盘掉落将巡检工背部轻微砸伤。</v>
      </c>
      <c r="E159" s="19" t="s">
        <v>863</v>
      </c>
      <c r="F159" s="20" t="s">
        <v>42</v>
      </c>
      <c r="G159" s="21" t="s">
        <v>43</v>
      </c>
      <c r="H159" s="19" t="s">
        <v>44</v>
      </c>
      <c r="I159" s="19" t="s">
        <v>83</v>
      </c>
      <c r="J159" s="19" t="s">
        <v>401</v>
      </c>
      <c r="K159" s="19" t="s">
        <v>145</v>
      </c>
      <c r="L159" s="19"/>
      <c r="M159" s="19" t="s">
        <v>96</v>
      </c>
      <c r="N159" s="19" t="s">
        <v>864</v>
      </c>
      <c r="O159" s="19" t="s">
        <v>96</v>
      </c>
      <c r="P159" s="19" t="s">
        <v>97</v>
      </c>
      <c r="Q159" s="19" t="s">
        <v>865</v>
      </c>
      <c r="R159" s="19" t="s">
        <v>866</v>
      </c>
      <c r="S159" s="19"/>
      <c r="T159" s="19" t="s">
        <v>54</v>
      </c>
      <c r="U159" s="19" t="s">
        <v>75</v>
      </c>
      <c r="V159" s="19" t="s">
        <v>101</v>
      </c>
      <c r="W159" s="19" t="s">
        <v>77</v>
      </c>
      <c r="X159" s="19"/>
      <c r="Y159" s="19"/>
      <c r="Z159" s="19" t="s">
        <v>867</v>
      </c>
      <c r="AA159" s="19">
        <v>1</v>
      </c>
      <c r="AB159" s="19">
        <v>1</v>
      </c>
      <c r="AC159" s="19" t="s">
        <v>60</v>
      </c>
      <c r="AD159" s="19" t="s">
        <v>97</v>
      </c>
      <c r="AE159" s="19" t="s">
        <v>103</v>
      </c>
      <c r="AF159" s="19" t="s">
        <v>868</v>
      </c>
    </row>
    <row r="160" spans="1:34">
      <c r="A160" s="19">
        <v>153</v>
      </c>
      <c r="B160" s="19" t="s">
        <v>174</v>
      </c>
      <c r="C160" s="19" t="s">
        <v>399</v>
      </c>
      <c r="D160" s="19" t="str">
        <f>HYPERLINK("http://www.henontech.com/fieldsafety/harzard/harzard_show.php?rid=1635&amp;url=harzardrecs.php","4.3米脱硫脱硝烟道人孔未封进行配风，内部高温烟气且负压较大，人员靠近观察，手部伸至人孔口时手部及上肢被吸入烟道，手部及上肢被高温烫伤，送医治疗。")</f>
        <v>4.3米脱硫脱硝烟道人孔未封进行配风，内部高温烟气且负压较大，人员靠近观察，手部伸至人孔口时手部及上肢被吸入烟道，手部及上肢被高温烫伤，送医治疗。</v>
      </c>
      <c r="E160" s="19" t="s">
        <v>869</v>
      </c>
      <c r="F160" s="20" t="s">
        <v>42</v>
      </c>
      <c r="G160" s="21" t="s">
        <v>43</v>
      </c>
      <c r="H160" s="19" t="s">
        <v>44</v>
      </c>
      <c r="I160" s="19" t="s">
        <v>388</v>
      </c>
      <c r="J160" s="19" t="s">
        <v>93</v>
      </c>
      <c r="K160" s="19"/>
      <c r="L160" s="19"/>
      <c r="M160" s="19" t="s">
        <v>117</v>
      </c>
      <c r="N160" s="19" t="s">
        <v>692</v>
      </c>
      <c r="O160" s="19" t="s">
        <v>117</v>
      </c>
      <c r="P160" s="19" t="s">
        <v>118</v>
      </c>
      <c r="Q160" s="19" t="s">
        <v>655</v>
      </c>
      <c r="R160" s="19" t="s">
        <v>870</v>
      </c>
      <c r="S160" s="19"/>
      <c r="T160" s="19" t="s">
        <v>54</v>
      </c>
      <c r="U160" s="19" t="s">
        <v>55</v>
      </c>
      <c r="V160" s="19" t="s">
        <v>101</v>
      </c>
      <c r="W160" s="19" t="s">
        <v>138</v>
      </c>
      <c r="X160" s="19" t="s">
        <v>235</v>
      </c>
      <c r="Y160" s="19" t="s">
        <v>235</v>
      </c>
      <c r="Z160" s="19" t="s">
        <v>871</v>
      </c>
      <c r="AA160" s="19">
        <v>2</v>
      </c>
      <c r="AB160" s="19">
        <v>0</v>
      </c>
      <c r="AC160" s="19" t="s">
        <v>60</v>
      </c>
      <c r="AD160" s="19" t="s">
        <v>118</v>
      </c>
      <c r="AE160" s="19" t="s">
        <v>406</v>
      </c>
      <c r="AF160" s="19" t="s">
        <v>640</v>
      </c>
    </row>
    <row r="161" spans="1:34">
      <c r="A161" s="19"/>
      <c r="B161" s="19"/>
      <c r="C161" s="19"/>
      <c r="D161" s="19" t="str">
        <f>HYPERLINK("http://www.henontech.com/fieldsafety/harzard/harzard_show.php?rid=1635&amp;url=harzardrecs.php","4.3米脱硫脱硝烟道人孔未封进行配风，人孔封盖（离地1.5米）用单只螺丝悬挂，人员巡检至此处时，螺丝断裂，封盖脱落砸伤巡检人员右脚，送医治疗，脚面骨折。")</f>
        <v>4.3米脱硫脱硝烟道人孔未封进行配风，人孔封盖（离地1.5米）用单只螺丝悬挂，人员巡检至此处时，螺丝断裂，封盖脱落砸伤巡检人员右脚，送医治疗，脚面骨折。</v>
      </c>
      <c r="E161" s="19" t="s">
        <v>872</v>
      </c>
      <c r="F161" s="19"/>
      <c r="G161" s="19"/>
      <c r="H161" s="19"/>
      <c r="I161" s="19"/>
      <c r="J161" s="19" t="s">
        <v>46</v>
      </c>
      <c r="K161" s="19"/>
      <c r="L161" s="19"/>
      <c r="M161" s="19"/>
      <c r="N161" s="19"/>
      <c r="O161" s="19"/>
      <c r="P161" s="19"/>
      <c r="Q161" s="19"/>
      <c r="R161" s="19"/>
      <c r="S161" s="19"/>
      <c r="T161" s="19" t="s">
        <v>54</v>
      </c>
      <c r="U161" s="19" t="s">
        <v>55</v>
      </c>
      <c r="V161" s="19" t="s">
        <v>101</v>
      </c>
      <c r="W161" s="19" t="s">
        <v>138</v>
      </c>
      <c r="X161" s="19"/>
      <c r="Y161" s="19"/>
      <c r="Z161" s="19"/>
      <c r="AA161" s="19"/>
      <c r="AB161" s="19"/>
      <c r="AC161" s="19"/>
      <c r="AD161" s="19"/>
      <c r="AE161" s="19"/>
      <c r="AF161" s="19"/>
    </row>
    <row r="162" spans="1:34" customHeight="1" ht="42">
      <c r="A162" s="19">
        <v>154</v>
      </c>
      <c r="B162" s="19" t="s">
        <v>174</v>
      </c>
      <c r="C162" s="19" t="s">
        <v>873</v>
      </c>
      <c r="D162" s="19" t="str">
        <f>HYPERLINK("http://www.henontech.com/fieldsafety/harzard/harzard_show.php?rid=1636&amp;url=harzardrecs.php","在环境除尘顶部，更换5号灰仓布袋，操作工扶北侧护栏，由于护栏开焊，不慎掉到二层平台，约10米高，造成人员当场死亡。")</f>
        <v>在环境除尘顶部，更换5号灰仓布袋，操作工扶北侧护栏，由于护栏开焊，不慎掉到二层平台，约10米高，造成人员当场死亡。</v>
      </c>
      <c r="E162" s="19" t="s">
        <v>874</v>
      </c>
      <c r="F162" s="20" t="s">
        <v>42</v>
      </c>
      <c r="G162" s="21" t="s">
        <v>43</v>
      </c>
      <c r="H162" s="19" t="s">
        <v>875</v>
      </c>
      <c r="I162" s="19" t="s">
        <v>437</v>
      </c>
      <c r="J162" s="19" t="s">
        <v>46</v>
      </c>
      <c r="K162" s="19" t="s">
        <v>69</v>
      </c>
      <c r="L162" s="19" t="s">
        <v>48</v>
      </c>
      <c r="M162" s="19" t="s">
        <v>117</v>
      </c>
      <c r="N162" s="19" t="s">
        <v>876</v>
      </c>
      <c r="O162" s="19" t="s">
        <v>117</v>
      </c>
      <c r="P162" s="19" t="s">
        <v>692</v>
      </c>
      <c r="Q162" s="19" t="s">
        <v>865</v>
      </c>
      <c r="R162" s="19" t="s">
        <v>877</v>
      </c>
      <c r="S162" s="19"/>
      <c r="T162" s="19" t="s">
        <v>54</v>
      </c>
      <c r="U162" s="19" t="s">
        <v>121</v>
      </c>
      <c r="V162" s="19" t="s">
        <v>56</v>
      </c>
      <c r="W162" s="19" t="s">
        <v>122</v>
      </c>
      <c r="X162" s="19" t="s">
        <v>235</v>
      </c>
      <c r="Y162" s="19" t="s">
        <v>235</v>
      </c>
      <c r="Z162" s="19" t="s">
        <v>878</v>
      </c>
      <c r="AA162" s="19">
        <v>2</v>
      </c>
      <c r="AB162" s="19">
        <v>2</v>
      </c>
      <c r="AC162" s="19" t="s">
        <v>60</v>
      </c>
      <c r="AD162" s="19" t="s">
        <v>692</v>
      </c>
      <c r="AE162" s="19" t="s">
        <v>569</v>
      </c>
      <c r="AF162" s="19"/>
    </row>
    <row r="163" spans="1:34" customHeight="1" ht="42">
      <c r="A163" s="19">
        <v>155</v>
      </c>
      <c r="B163" s="19" t="s">
        <v>174</v>
      </c>
      <c r="C163" s="19" t="s">
        <v>879</v>
      </c>
      <c r="D163" s="19" t="str">
        <f>HYPERLINK("http://www.henontech.com/fieldsafety/harzard/harzard_show.php?rid=1638&amp;url=harzardrecs.php","由于凝结水泵电机接线盒电线裸露，一巡检工在测电机振动时，不慎触碰裸露电线，触电倒地，经现场心肺复苏并送医院抢救无效，造成一人死亡事故。")</f>
        <v>由于凝结水泵电机接线盒电线裸露，一巡检工在测电机振动时，不慎触碰裸露电线，触电倒地，经现场心肺复苏并送医院抢救无效，造成一人死亡事故。</v>
      </c>
      <c r="E163" s="19" t="s">
        <v>880</v>
      </c>
      <c r="F163" s="20" t="s">
        <v>42</v>
      </c>
      <c r="G163" s="21" t="s">
        <v>43</v>
      </c>
      <c r="H163" s="19" t="s">
        <v>44</v>
      </c>
      <c r="I163" s="19" t="s">
        <v>67</v>
      </c>
      <c r="J163" s="19" t="s">
        <v>46</v>
      </c>
      <c r="K163" s="19" t="s">
        <v>145</v>
      </c>
      <c r="L163" s="19" t="s">
        <v>48</v>
      </c>
      <c r="M163" s="19" t="s">
        <v>117</v>
      </c>
      <c r="N163" s="19" t="s">
        <v>301</v>
      </c>
      <c r="O163" s="19" t="s">
        <v>117</v>
      </c>
      <c r="P163" s="19" t="s">
        <v>224</v>
      </c>
      <c r="Q163" s="19" t="s">
        <v>865</v>
      </c>
      <c r="R163" s="19" t="s">
        <v>881</v>
      </c>
      <c r="S163" s="19"/>
      <c r="T163" s="19" t="s">
        <v>54</v>
      </c>
      <c r="U163" s="19" t="s">
        <v>121</v>
      </c>
      <c r="V163" s="19" t="s">
        <v>56</v>
      </c>
      <c r="W163" s="19" t="s">
        <v>122</v>
      </c>
      <c r="X163" s="19" t="s">
        <v>235</v>
      </c>
      <c r="Y163" s="19" t="s">
        <v>235</v>
      </c>
      <c r="Z163" s="19" t="s">
        <v>882</v>
      </c>
      <c r="AA163" s="19">
        <v>2</v>
      </c>
      <c r="AB163" s="19">
        <v>2</v>
      </c>
      <c r="AC163" s="19" t="s">
        <v>60</v>
      </c>
      <c r="AD163" s="19" t="s">
        <v>224</v>
      </c>
      <c r="AE163" s="19" t="s">
        <v>125</v>
      </c>
      <c r="AF163" s="19"/>
    </row>
    <row r="164" spans="1:34">
      <c r="A164" s="19">
        <v>156</v>
      </c>
      <c r="B164" s="19" t="s">
        <v>251</v>
      </c>
      <c r="C164" s="19" t="s">
        <v>64</v>
      </c>
      <c r="D164" s="19" t="str">
        <f>HYPERLINK("http://www.henontech.com/fieldsafety/harzard/harzard_show.php?rid=1642&amp;url=harzardrecs.php","保运维修班西侧地沟盖板断裂，假如中夜班期间，巡检人员未带手电筒从此处经过，可能会脚部踩空造成小腿轻微擦伤，简单处理后复工，不影响生产。")</f>
        <v>保运维修班西侧地沟盖板断裂，假如中夜班期间，巡检人员未带手电筒从此处经过，可能会脚部踩空造成小腿轻微擦伤，简单处理后复工，不影响生产。</v>
      </c>
      <c r="E164" s="19" t="s">
        <v>883</v>
      </c>
      <c r="F164" s="20" t="s">
        <v>42</v>
      </c>
      <c r="G164" s="21" t="s">
        <v>43</v>
      </c>
      <c r="H164" s="19" t="s">
        <v>44</v>
      </c>
      <c r="I164" s="19" t="s">
        <v>45</v>
      </c>
      <c r="J164" s="19" t="s">
        <v>46</v>
      </c>
      <c r="K164" s="19" t="s">
        <v>47</v>
      </c>
      <c r="L164" s="19" t="s">
        <v>48</v>
      </c>
      <c r="M164" s="19" t="s">
        <v>70</v>
      </c>
      <c r="N164" s="19" t="s">
        <v>884</v>
      </c>
      <c r="O164" s="19" t="s">
        <v>70</v>
      </c>
      <c r="P164" s="19" t="s">
        <v>72</v>
      </c>
      <c r="Q164" s="19" t="s">
        <v>885</v>
      </c>
      <c r="R164" s="19" t="s">
        <v>886</v>
      </c>
      <c r="S164" s="19"/>
      <c r="T164" s="19" t="s">
        <v>54</v>
      </c>
      <c r="U164" s="19" t="s">
        <v>75</v>
      </c>
      <c r="V164" s="19" t="s">
        <v>101</v>
      </c>
      <c r="W164" s="19" t="s">
        <v>77</v>
      </c>
      <c r="X164" s="19"/>
      <c r="Y164" s="19"/>
      <c r="Z164" s="19" t="s">
        <v>733</v>
      </c>
      <c r="AA164" s="19">
        <v>1</v>
      </c>
      <c r="AB164" s="19">
        <v>1</v>
      </c>
      <c r="AC164" s="19" t="s">
        <v>60</v>
      </c>
      <c r="AD164" s="19" t="s">
        <v>72</v>
      </c>
      <c r="AE164" s="19" t="s">
        <v>403</v>
      </c>
      <c r="AF164" s="19"/>
    </row>
    <row r="165" spans="1:34">
      <c r="A165" s="19">
        <v>157</v>
      </c>
      <c r="B165" s="19" t="s">
        <v>251</v>
      </c>
      <c r="C165" s="19" t="s">
        <v>841</v>
      </c>
      <c r="D165" s="19" t="str">
        <f>HYPERLINK("http://www.henontech.com/fieldsafety/harzard/harzard_show.php?rid=1643&amp;url=harzardrecs.php","由于压缩楼前的过面龙门架上未按装限高标志，有可能过高车辆通过时，刮坏设备管道。")</f>
        <v>由于压缩楼前的过面龙门架上未按装限高标志，有可能过高车辆通过时，刮坏设备管道。</v>
      </c>
      <c r="E165" s="19" t="s">
        <v>887</v>
      </c>
      <c r="F165" s="24" t="s">
        <v>387</v>
      </c>
      <c r="G165" s="21" t="s">
        <v>43</v>
      </c>
      <c r="H165" s="19" t="s">
        <v>44</v>
      </c>
      <c r="I165" s="19" t="s">
        <v>45</v>
      </c>
      <c r="J165" s="19" t="s">
        <v>178</v>
      </c>
      <c r="K165" s="19" t="s">
        <v>69</v>
      </c>
      <c r="L165" s="19" t="s">
        <v>48</v>
      </c>
      <c r="M165" s="19" t="s">
        <v>96</v>
      </c>
      <c r="N165" s="19" t="s">
        <v>888</v>
      </c>
      <c r="O165" s="19"/>
      <c r="P165" s="19"/>
      <c r="Q165" s="19"/>
      <c r="R165" s="19" t="s">
        <v>889</v>
      </c>
      <c r="S165" s="19" t="s">
        <v>890</v>
      </c>
      <c r="T165" s="19" t="s">
        <v>100</v>
      </c>
      <c r="U165" s="19" t="s">
        <v>192</v>
      </c>
      <c r="V165" s="19" t="s">
        <v>56</v>
      </c>
      <c r="W165" s="19" t="s">
        <v>77</v>
      </c>
      <c r="X165" s="19"/>
      <c r="Y165" s="19"/>
      <c r="Z165" s="19"/>
      <c r="AA165" s="19">
        <v>0</v>
      </c>
      <c r="AB165" s="19"/>
      <c r="AC165" s="19" t="s">
        <v>392</v>
      </c>
      <c r="AD165" s="19"/>
      <c r="AE165" s="19"/>
      <c r="AF165" s="19"/>
    </row>
    <row r="166" spans="1:34">
      <c r="A166" s="19">
        <v>158</v>
      </c>
      <c r="B166" s="19" t="s">
        <v>251</v>
      </c>
      <c r="C166" s="19" t="s">
        <v>681</v>
      </c>
      <c r="D166" s="19" t="str">
        <f>HYPERLINK("http://www.henontech.com/fieldsafety/harzard/harzard_show.php?rid=1644&amp;url=harzardrecs.php","由于压缩楼前的过面龙门架上未按装限高标志，有可能过高车辆通过时，刮坏设备管道。")</f>
        <v>由于压缩楼前的过面龙门架上未按装限高标志，有可能过高车辆通过时，刮坏设备管道。</v>
      </c>
      <c r="E166" s="19" t="s">
        <v>887</v>
      </c>
      <c r="F166" s="20" t="s">
        <v>42</v>
      </c>
      <c r="G166" s="21" t="s">
        <v>43</v>
      </c>
      <c r="H166" s="19" t="s">
        <v>44</v>
      </c>
      <c r="I166" s="19" t="s">
        <v>45</v>
      </c>
      <c r="J166" s="19" t="s">
        <v>178</v>
      </c>
      <c r="K166" s="19" t="s">
        <v>69</v>
      </c>
      <c r="L166" s="19" t="s">
        <v>48</v>
      </c>
      <c r="M166" s="19" t="s">
        <v>96</v>
      </c>
      <c r="N166" s="19" t="s">
        <v>888</v>
      </c>
      <c r="O166" s="19" t="s">
        <v>96</v>
      </c>
      <c r="P166" s="19" t="s">
        <v>189</v>
      </c>
      <c r="Q166" s="19" t="s">
        <v>891</v>
      </c>
      <c r="R166" s="19" t="s">
        <v>889</v>
      </c>
      <c r="S166" s="19"/>
      <c r="T166" s="19" t="s">
        <v>100</v>
      </c>
      <c r="U166" s="19" t="s">
        <v>192</v>
      </c>
      <c r="V166" s="19" t="s">
        <v>56</v>
      </c>
      <c r="W166" s="19" t="s">
        <v>77</v>
      </c>
      <c r="X166" s="19" t="s">
        <v>235</v>
      </c>
      <c r="Y166" s="19" t="s">
        <v>235</v>
      </c>
      <c r="Z166" s="19" t="s">
        <v>892</v>
      </c>
      <c r="AA166" s="19">
        <v>1</v>
      </c>
      <c r="AB166" s="19">
        <v>1</v>
      </c>
      <c r="AC166" s="19" t="s">
        <v>60</v>
      </c>
      <c r="AD166" s="19" t="s">
        <v>189</v>
      </c>
      <c r="AE166" s="19" t="s">
        <v>262</v>
      </c>
      <c r="AF166" s="19"/>
    </row>
    <row r="167" spans="1:34">
      <c r="A167" s="19">
        <v>159</v>
      </c>
      <c r="B167" s="19" t="s">
        <v>125</v>
      </c>
      <c r="C167" s="19" t="s">
        <v>841</v>
      </c>
      <c r="D167" s="19" t="str">
        <f>HYPERLINK("http://www.henontech.com/fieldsafety/harzard/harzard_show.php?rid=1646&amp;url=harzardrecs.php","护栏下部栏杆固定位置开焊，起不到应有的保护作用，人员有失足坠落风险。")</f>
        <v>护栏下部栏杆固定位置开焊，起不到应有的保护作用，人员有失足坠落风险。</v>
      </c>
      <c r="E167" s="19" t="s">
        <v>893</v>
      </c>
      <c r="F167" s="20" t="s">
        <v>42</v>
      </c>
      <c r="G167" s="21" t="s">
        <v>43</v>
      </c>
      <c r="H167" s="19" t="s">
        <v>44</v>
      </c>
      <c r="I167" s="19" t="s">
        <v>67</v>
      </c>
      <c r="J167" s="19" t="s">
        <v>46</v>
      </c>
      <c r="K167" s="19" t="s">
        <v>47</v>
      </c>
      <c r="L167" s="19" t="s">
        <v>48</v>
      </c>
      <c r="M167" s="19" t="s">
        <v>96</v>
      </c>
      <c r="N167" s="19" t="s">
        <v>188</v>
      </c>
      <c r="O167" s="19" t="s">
        <v>96</v>
      </c>
      <c r="P167" s="19" t="s">
        <v>340</v>
      </c>
      <c r="Q167" s="19" t="s">
        <v>865</v>
      </c>
      <c r="R167" s="19" t="s">
        <v>894</v>
      </c>
      <c r="S167" s="19"/>
      <c r="T167" s="19" t="s">
        <v>54</v>
      </c>
      <c r="U167" s="19" t="s">
        <v>55</v>
      </c>
      <c r="V167" s="19" t="s">
        <v>101</v>
      </c>
      <c r="W167" s="19" t="s">
        <v>138</v>
      </c>
      <c r="X167" s="19"/>
      <c r="Y167" s="19"/>
      <c r="Z167" s="19" t="s">
        <v>895</v>
      </c>
      <c r="AA167" s="19">
        <v>1</v>
      </c>
      <c r="AB167" s="19">
        <v>1</v>
      </c>
      <c r="AC167" s="19" t="s">
        <v>60</v>
      </c>
      <c r="AD167" s="19" t="s">
        <v>340</v>
      </c>
      <c r="AE167" s="19" t="s">
        <v>321</v>
      </c>
      <c r="AF167" s="19"/>
    </row>
    <row r="168" spans="1:34">
      <c r="A168" s="19">
        <v>160</v>
      </c>
      <c r="B168" s="19" t="s">
        <v>125</v>
      </c>
      <c r="C168" s="19" t="s">
        <v>364</v>
      </c>
      <c r="D168" s="19" t="str">
        <f>HYPERLINK("http://www.henontech.com/fieldsafety/harzard/harzard_show.php?rid=1647&amp;url=harzardrecs.php","转化离心风机联轴器胶塞磨损严重，机体剧烈振动，噪音增大。")</f>
        <v>转化离心风机联轴器胶塞磨损严重，机体剧烈振动，噪音增大。</v>
      </c>
      <c r="E168" s="19" t="s">
        <v>896</v>
      </c>
      <c r="F168" s="24" t="s">
        <v>387</v>
      </c>
      <c r="G168" s="21" t="s">
        <v>43</v>
      </c>
      <c r="H168" s="19" t="s">
        <v>44</v>
      </c>
      <c r="I168" s="19"/>
      <c r="J168" s="19" t="s">
        <v>334</v>
      </c>
      <c r="K168" s="19"/>
      <c r="L168" s="19"/>
      <c r="M168" s="19" t="s">
        <v>96</v>
      </c>
      <c r="N168" s="19" t="s">
        <v>897</v>
      </c>
      <c r="O168" s="19"/>
      <c r="P168" s="19"/>
      <c r="Q168" s="19"/>
      <c r="R168" s="19" t="s">
        <v>898</v>
      </c>
      <c r="S168" s="19" t="s">
        <v>899</v>
      </c>
      <c r="T168" s="19" t="s">
        <v>100</v>
      </c>
      <c r="U168" s="19" t="s">
        <v>192</v>
      </c>
      <c r="V168" s="19" t="s">
        <v>56</v>
      </c>
      <c r="W168" s="19" t="s">
        <v>77</v>
      </c>
      <c r="X168" s="19"/>
      <c r="Y168" s="19"/>
      <c r="Z168" s="19"/>
      <c r="AA168" s="19">
        <v>0</v>
      </c>
      <c r="AB168" s="19"/>
      <c r="AC168" s="19" t="s">
        <v>392</v>
      </c>
      <c r="AD168" s="19"/>
      <c r="AE168" s="19"/>
      <c r="AF168" s="19"/>
    </row>
    <row r="169" spans="1:34" customHeight="1" ht="42">
      <c r="A169" s="19">
        <v>161</v>
      </c>
      <c r="B169" s="19" t="s">
        <v>125</v>
      </c>
      <c r="C169" s="19" t="s">
        <v>299</v>
      </c>
      <c r="D169" s="19" t="str">
        <f>HYPERLINK("http://www.henontech.com/fieldsafety/harzard/harzard_show.php?rid=1648&amp;url=harzardrecs.php","柴油机消防泵电磁铁钢丝拉绳损坏，停电期间无法正常启动，如发生火灾会造成重大财产损失。")</f>
        <v>柴油机消防泵电磁铁钢丝拉绳损坏，停电期间无法正常启动，如发生火灾会造成重大财产损失。</v>
      </c>
      <c r="E169" s="19" t="s">
        <v>900</v>
      </c>
      <c r="F169" s="20" t="s">
        <v>42</v>
      </c>
      <c r="G169" s="22" t="s">
        <v>66</v>
      </c>
      <c r="H169" s="19" t="s">
        <v>44</v>
      </c>
      <c r="I169" s="19" t="s">
        <v>67</v>
      </c>
      <c r="J169" s="19" t="s">
        <v>401</v>
      </c>
      <c r="K169" s="19" t="s">
        <v>145</v>
      </c>
      <c r="L169" s="19" t="s">
        <v>48</v>
      </c>
      <c r="M169" s="19" t="s">
        <v>117</v>
      </c>
      <c r="N169" s="19" t="s">
        <v>310</v>
      </c>
      <c r="O169" s="19" t="s">
        <v>117</v>
      </c>
      <c r="P169" s="19" t="s">
        <v>224</v>
      </c>
      <c r="Q169" s="19" t="s">
        <v>885</v>
      </c>
      <c r="R169" s="19" t="s">
        <v>901</v>
      </c>
      <c r="S169" s="19"/>
      <c r="T169" s="19" t="s">
        <v>100</v>
      </c>
      <c r="U169" s="19" t="s">
        <v>192</v>
      </c>
      <c r="V169" s="19" t="s">
        <v>56</v>
      </c>
      <c r="W169" s="19" t="s">
        <v>77</v>
      </c>
      <c r="X169" s="19" t="s">
        <v>58</v>
      </c>
      <c r="Y169" s="19"/>
      <c r="Z169" s="19" t="s">
        <v>902</v>
      </c>
      <c r="AA169" s="19">
        <v>2</v>
      </c>
      <c r="AB169" s="19">
        <v>2</v>
      </c>
      <c r="AC169" s="19" t="s">
        <v>60</v>
      </c>
      <c r="AD169" s="19" t="s">
        <v>224</v>
      </c>
      <c r="AE169" s="19" t="s">
        <v>321</v>
      </c>
      <c r="AF169" s="19"/>
    </row>
    <row r="170" spans="1:34">
      <c r="A170" s="19">
        <v>162</v>
      </c>
      <c r="B170" s="19" t="s">
        <v>125</v>
      </c>
      <c r="C170" s="19" t="s">
        <v>903</v>
      </c>
      <c r="D170" s="19" t="str">
        <f>HYPERLINK("http://www.henontech.com/fieldsafety/harzard/harzard_show.php?rid=1650&amp;url=harzardrecs.php","精炼工段换热器设备支撑腐蚀严重，该设备在冷排北侧，受冷排水汽影响如果继续腐蚀，会造成设备支撑损坏。支撑损坏会造成换热器设备歪倒牵扯损坏管线，精炼液外溢，造成环保事故。")</f>
        <v>精炼工段换热器设备支撑腐蚀严重，该设备在冷排北侧，受冷排水汽影响如果继续腐蚀，会造成设备支撑损坏。支撑损坏会造成换热器设备歪倒牵扯损坏管线，精炼液外溢，造成环保事故。</v>
      </c>
      <c r="E170" s="19" t="s">
        <v>904</v>
      </c>
      <c r="F170" s="20" t="s">
        <v>42</v>
      </c>
      <c r="G170" s="21" t="s">
        <v>43</v>
      </c>
      <c r="H170" s="19" t="s">
        <v>44</v>
      </c>
      <c r="I170" s="19" t="s">
        <v>437</v>
      </c>
      <c r="J170" s="19" t="s">
        <v>46</v>
      </c>
      <c r="K170" s="19" t="s">
        <v>209</v>
      </c>
      <c r="L170" s="19" t="s">
        <v>48</v>
      </c>
      <c r="M170" s="19" t="s">
        <v>96</v>
      </c>
      <c r="N170" s="19" t="s">
        <v>905</v>
      </c>
      <c r="O170" s="19" t="s">
        <v>96</v>
      </c>
      <c r="P170" s="19" t="s">
        <v>97</v>
      </c>
      <c r="Q170" s="19" t="s">
        <v>885</v>
      </c>
      <c r="R170" s="19" t="s">
        <v>906</v>
      </c>
      <c r="S170" s="19"/>
      <c r="T170" s="19" t="s">
        <v>100</v>
      </c>
      <c r="U170" s="19" t="s">
        <v>192</v>
      </c>
      <c r="V170" s="19" t="s">
        <v>101</v>
      </c>
      <c r="W170" s="19" t="s">
        <v>77</v>
      </c>
      <c r="X170" s="19" t="s">
        <v>713</v>
      </c>
      <c r="Y170" s="19" t="s">
        <v>713</v>
      </c>
      <c r="Z170" s="19" t="s">
        <v>907</v>
      </c>
      <c r="AA170" s="19">
        <v>1</v>
      </c>
      <c r="AB170" s="19">
        <v>1</v>
      </c>
      <c r="AC170" s="19" t="s">
        <v>60</v>
      </c>
      <c r="AD170" s="19" t="s">
        <v>97</v>
      </c>
      <c r="AE170" s="19" t="s">
        <v>103</v>
      </c>
      <c r="AF170" s="19" t="s">
        <v>908</v>
      </c>
    </row>
    <row r="171" spans="1:34">
      <c r="A171" s="19">
        <v>163</v>
      </c>
      <c r="B171" s="19" t="s">
        <v>125</v>
      </c>
      <c r="C171" s="19" t="s">
        <v>96</v>
      </c>
      <c r="D171" s="19" t="str">
        <f>HYPERLINK("http://www.henontech.com/fieldsafety/harzard/harzard_show.php?rid=1651&amp;url=harzardrecs.php","操作工在打开盖板清理杂物后，未将地沟盖板恢复，造成一名巡检工在巡检时掉入地沟，致使该巡检工小腿部划伤，送医务室处理后，立即复工。")</f>
        <v>操作工在打开盖板清理杂物后，未将地沟盖板恢复，造成一名巡检工在巡检时掉入地沟，致使该巡检工小腿部划伤，送医务室处理后，立即复工。</v>
      </c>
      <c r="E171" s="19" t="s">
        <v>909</v>
      </c>
      <c r="F171" s="20" t="s">
        <v>42</v>
      </c>
      <c r="G171" s="21" t="s">
        <v>43</v>
      </c>
      <c r="H171" s="19" t="s">
        <v>44</v>
      </c>
      <c r="I171" s="19" t="s">
        <v>388</v>
      </c>
      <c r="J171" s="19" t="s">
        <v>334</v>
      </c>
      <c r="K171" s="19" t="s">
        <v>69</v>
      </c>
      <c r="L171" s="19"/>
      <c r="M171" s="19" t="s">
        <v>96</v>
      </c>
      <c r="N171" s="19" t="s">
        <v>189</v>
      </c>
      <c r="O171" s="19" t="s">
        <v>96</v>
      </c>
      <c r="P171" s="19" t="s">
        <v>189</v>
      </c>
      <c r="Q171" s="19" t="s">
        <v>457</v>
      </c>
      <c r="R171" s="19" t="s">
        <v>910</v>
      </c>
      <c r="S171" s="19"/>
      <c r="T171" s="19" t="s">
        <v>54</v>
      </c>
      <c r="U171" s="19" t="s">
        <v>75</v>
      </c>
      <c r="V171" s="19" t="s">
        <v>56</v>
      </c>
      <c r="W171" s="19" t="s">
        <v>138</v>
      </c>
      <c r="X171" s="19" t="s">
        <v>743</v>
      </c>
      <c r="Y171" s="19" t="s">
        <v>182</v>
      </c>
      <c r="Z171" s="19" t="s">
        <v>911</v>
      </c>
      <c r="AA171" s="19">
        <v>1</v>
      </c>
      <c r="AB171" s="19">
        <v>1</v>
      </c>
      <c r="AC171" s="19" t="s">
        <v>60</v>
      </c>
      <c r="AD171" s="19" t="s">
        <v>189</v>
      </c>
      <c r="AE171" s="19" t="s">
        <v>125</v>
      </c>
      <c r="AF171" s="19"/>
    </row>
    <row r="172" spans="1:34">
      <c r="A172" s="19">
        <v>164</v>
      </c>
      <c r="B172" s="19" t="s">
        <v>125</v>
      </c>
      <c r="C172" s="19" t="s">
        <v>912</v>
      </c>
      <c r="D172" s="19" t="str">
        <f>HYPERLINK("http://www.henontech.com/fieldsafety/harzard/harzard_show.php?rid=1652&amp;url=harzardrecs.php","巡检人员经常检查巡循环水位高低，巡检时，因排水管高于地面二十cm，且无警示标志，被水管拌倒，扭伤脚踝，休工一周。")</f>
        <v>巡检人员经常检查巡循环水位高低，巡检时，因排水管高于地面二十cm，且无警示标志，被水管拌倒，扭伤脚踝，休工一周。</v>
      </c>
      <c r="E172" s="19" t="s">
        <v>913</v>
      </c>
      <c r="F172" s="20" t="s">
        <v>42</v>
      </c>
      <c r="G172" s="21" t="s">
        <v>43</v>
      </c>
      <c r="H172" s="19" t="s">
        <v>44</v>
      </c>
      <c r="I172" s="19" t="s">
        <v>45</v>
      </c>
      <c r="J172" s="19" t="s">
        <v>178</v>
      </c>
      <c r="K172" s="19" t="s">
        <v>69</v>
      </c>
      <c r="L172" s="19" t="s">
        <v>48</v>
      </c>
      <c r="M172" s="19" t="s">
        <v>96</v>
      </c>
      <c r="N172" s="19" t="s">
        <v>914</v>
      </c>
      <c r="O172" s="19" t="s">
        <v>96</v>
      </c>
      <c r="P172" s="19" t="s">
        <v>189</v>
      </c>
      <c r="Q172" s="19" t="s">
        <v>457</v>
      </c>
      <c r="R172" s="19" t="s">
        <v>915</v>
      </c>
      <c r="S172" s="19"/>
      <c r="T172" s="19" t="s">
        <v>54</v>
      </c>
      <c r="U172" s="19" t="s">
        <v>75</v>
      </c>
      <c r="V172" s="19" t="s">
        <v>56</v>
      </c>
      <c r="W172" s="19" t="s">
        <v>138</v>
      </c>
      <c r="X172" s="19" t="s">
        <v>743</v>
      </c>
      <c r="Y172" s="19" t="s">
        <v>182</v>
      </c>
      <c r="Z172" s="19" t="s">
        <v>916</v>
      </c>
      <c r="AA172" s="19">
        <v>1</v>
      </c>
      <c r="AB172" s="19">
        <v>1</v>
      </c>
      <c r="AC172" s="19" t="s">
        <v>60</v>
      </c>
      <c r="AD172" s="19" t="s">
        <v>189</v>
      </c>
      <c r="AE172" s="19" t="s">
        <v>125</v>
      </c>
      <c r="AF172" s="19"/>
    </row>
    <row r="173" spans="1:34">
      <c r="A173" s="19">
        <v>165</v>
      </c>
      <c r="B173" s="19" t="s">
        <v>125</v>
      </c>
      <c r="C173" s="19" t="s">
        <v>841</v>
      </c>
      <c r="D173" s="19" t="str">
        <f>HYPERLINK("http://www.henontech.com/fieldsafety/harzard/harzard_show.php?rid=1653&amp;url=harzardrecs.php","碳化塔顶外部操作平台护栏缺失，一名操作工靠近此处不慎坠落，造成头部摔伤，及时送医院救治。")</f>
        <v>碳化塔顶外部操作平台护栏缺失，一名操作工靠近此处不慎坠落，造成头部摔伤，及时送医院救治。</v>
      </c>
      <c r="E173" s="19" t="s">
        <v>917</v>
      </c>
      <c r="F173" s="20" t="s">
        <v>42</v>
      </c>
      <c r="G173" s="22" t="s">
        <v>66</v>
      </c>
      <c r="H173" s="19" t="s">
        <v>44</v>
      </c>
      <c r="I173" s="19" t="s">
        <v>67</v>
      </c>
      <c r="J173" s="19" t="s">
        <v>46</v>
      </c>
      <c r="K173" s="19" t="s">
        <v>69</v>
      </c>
      <c r="L173" s="19"/>
      <c r="M173" s="19" t="s">
        <v>96</v>
      </c>
      <c r="N173" s="19" t="s">
        <v>918</v>
      </c>
      <c r="O173" s="19" t="s">
        <v>96</v>
      </c>
      <c r="P173" s="19" t="s">
        <v>189</v>
      </c>
      <c r="Q173" s="19" t="s">
        <v>457</v>
      </c>
      <c r="R173" s="19" t="s">
        <v>186</v>
      </c>
      <c r="S173" s="19"/>
      <c r="T173" s="19" t="s">
        <v>54</v>
      </c>
      <c r="U173" s="19" t="s">
        <v>121</v>
      </c>
      <c r="V173" s="19" t="s">
        <v>56</v>
      </c>
      <c r="W173" s="19" t="s">
        <v>122</v>
      </c>
      <c r="X173" s="19"/>
      <c r="Y173" s="19"/>
      <c r="Z173" s="19" t="s">
        <v>919</v>
      </c>
      <c r="AA173" s="19">
        <v>1</v>
      </c>
      <c r="AB173" s="19">
        <v>1</v>
      </c>
      <c r="AC173" s="19" t="s">
        <v>60</v>
      </c>
      <c r="AD173" s="19" t="s">
        <v>189</v>
      </c>
      <c r="AE173" s="19" t="s">
        <v>103</v>
      </c>
      <c r="AF173" s="19"/>
    </row>
    <row r="174" spans="1:34" customHeight="1" ht="42">
      <c r="A174" s="19">
        <v>166</v>
      </c>
      <c r="B174" s="19" t="s">
        <v>103</v>
      </c>
      <c r="C174" s="19" t="s">
        <v>243</v>
      </c>
      <c r="D174" s="19" t="str">
        <f>HYPERLINK("http://www.henontech.com/fieldsafety/harzard/harzard_show.php?rid=1656&amp;url=harzardrecs.php","4.3米焦炉地下室北头换向链条上方倾斜处有一水泥块，没有及时清理，存在掉落风险，若人员在下方行走、作业，被掉落水泥块砸中后脑部，会导致人员重伤死亡。")</f>
        <v>4.3米焦炉地下室北头换向链条上方倾斜处有一水泥块，没有及时清理，存在掉落风险，若人员在下方行走、作业，被掉落水泥块砸中后脑部，会导致人员重伤死亡。</v>
      </c>
      <c r="E174" s="19" t="s">
        <v>920</v>
      </c>
      <c r="F174" s="20" t="s">
        <v>42</v>
      </c>
      <c r="G174" s="23" t="s">
        <v>231</v>
      </c>
      <c r="H174" s="19" t="s">
        <v>44</v>
      </c>
      <c r="I174" s="19" t="s">
        <v>45</v>
      </c>
      <c r="J174" s="19" t="s">
        <v>46</v>
      </c>
      <c r="K174" s="19" t="s">
        <v>145</v>
      </c>
      <c r="L174" s="19" t="s">
        <v>48</v>
      </c>
      <c r="M174" s="19" t="s">
        <v>117</v>
      </c>
      <c r="N174" s="19" t="s">
        <v>169</v>
      </c>
      <c r="O174" s="19" t="s">
        <v>117</v>
      </c>
      <c r="P174" s="19" t="s">
        <v>432</v>
      </c>
      <c r="Q174" s="19" t="s">
        <v>377</v>
      </c>
      <c r="R174" s="19" t="s">
        <v>921</v>
      </c>
      <c r="S174" s="19"/>
      <c r="T174" s="19" t="s">
        <v>54</v>
      </c>
      <c r="U174" s="19" t="s">
        <v>121</v>
      </c>
      <c r="V174" s="19" t="s">
        <v>56</v>
      </c>
      <c r="W174" s="19" t="s">
        <v>122</v>
      </c>
      <c r="X174" s="19" t="s">
        <v>58</v>
      </c>
      <c r="Y174" s="19"/>
      <c r="Z174" s="19" t="s">
        <v>922</v>
      </c>
      <c r="AA174" s="19">
        <v>2</v>
      </c>
      <c r="AB174" s="19">
        <v>2</v>
      </c>
      <c r="AC174" s="19" t="s">
        <v>60</v>
      </c>
      <c r="AD174" s="19" t="s">
        <v>432</v>
      </c>
      <c r="AE174" s="19" t="s">
        <v>103</v>
      </c>
      <c r="AF174" s="19"/>
    </row>
    <row r="175" spans="1:34">
      <c r="A175" s="19">
        <v>167</v>
      </c>
      <c r="B175" s="19" t="s">
        <v>103</v>
      </c>
      <c r="C175" s="19" t="s">
        <v>756</v>
      </c>
      <c r="D175" s="19" t="str">
        <f>HYPERLINK("http://www.henontech.com/fieldsafety/harzard/harzard_show.php?rid=1657&amp;url=harzardrecs.php","转化工段地沟盖板未盖，一名操作人员夜间巡检跨越地沟因光线不好，脚部陷入地沟造成脚部扭伤。")</f>
        <v>转化工段地沟盖板未盖，一名操作人员夜间巡检跨越地沟因光线不好，脚部陷入地沟造成脚部扭伤。</v>
      </c>
      <c r="E175" s="19" t="s">
        <v>923</v>
      </c>
      <c r="F175" s="24" t="s">
        <v>387</v>
      </c>
      <c r="G175" s="21" t="s">
        <v>43</v>
      </c>
      <c r="H175" s="19" t="s">
        <v>44</v>
      </c>
      <c r="I175" s="19"/>
      <c r="J175" s="19" t="s">
        <v>46</v>
      </c>
      <c r="K175" s="19" t="s">
        <v>69</v>
      </c>
      <c r="L175" s="19"/>
      <c r="M175" s="19" t="s">
        <v>96</v>
      </c>
      <c r="N175" s="19" t="s">
        <v>924</v>
      </c>
      <c r="O175" s="19"/>
      <c r="P175" s="19"/>
      <c r="Q175" s="19"/>
      <c r="R175" s="19" t="s">
        <v>925</v>
      </c>
      <c r="S175" s="19" t="s">
        <v>899</v>
      </c>
      <c r="T175" s="19" t="s">
        <v>54</v>
      </c>
      <c r="U175" s="19" t="s">
        <v>75</v>
      </c>
      <c r="V175" s="19" t="s">
        <v>56</v>
      </c>
      <c r="W175" s="19" t="s">
        <v>138</v>
      </c>
      <c r="X175" s="19"/>
      <c r="Y175" s="19"/>
      <c r="Z175" s="19"/>
      <c r="AA175" s="19">
        <v>0</v>
      </c>
      <c r="AB175" s="19"/>
      <c r="AC175" s="19" t="s">
        <v>392</v>
      </c>
      <c r="AD175" s="19"/>
      <c r="AE175" s="19"/>
      <c r="AF175" s="19"/>
    </row>
    <row r="176" spans="1:34" customHeight="1" ht="42">
      <c r="A176" s="19">
        <v>168</v>
      </c>
      <c r="B176" s="19" t="s">
        <v>103</v>
      </c>
      <c r="C176" s="19" t="s">
        <v>299</v>
      </c>
      <c r="D176" s="19" t="str">
        <f>HYPERLINK("http://www.henontech.com/fieldsafety/harzard/harzard_show.php?rid=1658&amp;url=harzardrecs.php","循环水泵房内1号循环水泵轴流风扇电缆线铺设不规范，一名员工巡检至此时，不慎绊倒，膝盖破皮，去医务室简单处理。")</f>
        <v>循环水泵房内1号循环水泵轴流风扇电缆线铺设不规范，一名员工巡检至此时，不慎绊倒，膝盖破皮，去医务室简单处理。</v>
      </c>
      <c r="E176" s="19" t="s">
        <v>926</v>
      </c>
      <c r="F176" s="20" t="s">
        <v>42</v>
      </c>
      <c r="G176" s="21" t="s">
        <v>43</v>
      </c>
      <c r="H176" s="19" t="s">
        <v>44</v>
      </c>
      <c r="I176" s="19"/>
      <c r="J176" s="19" t="s">
        <v>46</v>
      </c>
      <c r="K176" s="19"/>
      <c r="L176" s="19"/>
      <c r="M176" s="19" t="s">
        <v>117</v>
      </c>
      <c r="N176" s="19" t="s">
        <v>316</v>
      </c>
      <c r="O176" s="19" t="s">
        <v>117</v>
      </c>
      <c r="P176" s="19" t="s">
        <v>692</v>
      </c>
      <c r="Q176" s="19" t="s">
        <v>661</v>
      </c>
      <c r="R176" s="19" t="s">
        <v>901</v>
      </c>
      <c r="S176" s="19"/>
      <c r="T176" s="19" t="s">
        <v>54</v>
      </c>
      <c r="U176" s="19" t="s">
        <v>75</v>
      </c>
      <c r="V176" s="19" t="s">
        <v>56</v>
      </c>
      <c r="W176" s="19" t="s">
        <v>138</v>
      </c>
      <c r="X176" s="19" t="s">
        <v>235</v>
      </c>
      <c r="Y176" s="19" t="s">
        <v>235</v>
      </c>
      <c r="Z176" s="19" t="s">
        <v>927</v>
      </c>
      <c r="AA176" s="19">
        <v>2</v>
      </c>
      <c r="AB176" s="19">
        <v>2</v>
      </c>
      <c r="AC176" s="19" t="s">
        <v>60</v>
      </c>
      <c r="AD176" s="19" t="s">
        <v>692</v>
      </c>
      <c r="AE176" s="19" t="s">
        <v>569</v>
      </c>
      <c r="AF176" s="19"/>
    </row>
    <row r="177" spans="1:34">
      <c r="A177" s="19">
        <v>169</v>
      </c>
      <c r="B177" s="19" t="s">
        <v>103</v>
      </c>
      <c r="C177" s="19" t="s">
        <v>756</v>
      </c>
      <c r="D177" s="19" t="str">
        <f>HYPERLINK("http://www.henontech.com/fieldsafety/harzard/harzard_show.php?rid=1660&amp;url=harzardrecs.php","转化工段地沟盖板未盖，一名操作人员夜间巡检跨越地沟因光线不好，掉入地沟造成脚踝扭伤。")</f>
        <v>转化工段地沟盖板未盖，一名操作人员夜间巡检跨越地沟因光线不好，掉入地沟造成脚踝扭伤。</v>
      </c>
      <c r="E177" s="19" t="s">
        <v>928</v>
      </c>
      <c r="F177" s="20" t="s">
        <v>42</v>
      </c>
      <c r="G177" s="21" t="s">
        <v>43</v>
      </c>
      <c r="H177" s="19" t="s">
        <v>44</v>
      </c>
      <c r="I177" s="19"/>
      <c r="J177" s="19" t="s">
        <v>46</v>
      </c>
      <c r="K177" s="19" t="s">
        <v>69</v>
      </c>
      <c r="L177" s="19"/>
      <c r="M177" s="19" t="s">
        <v>96</v>
      </c>
      <c r="N177" s="19" t="s">
        <v>924</v>
      </c>
      <c r="O177" s="19" t="s">
        <v>96</v>
      </c>
      <c r="P177" s="19" t="s">
        <v>189</v>
      </c>
      <c r="Q177" s="19" t="s">
        <v>457</v>
      </c>
      <c r="R177" s="19" t="s">
        <v>929</v>
      </c>
      <c r="S177" s="19"/>
      <c r="T177" s="19" t="s">
        <v>54</v>
      </c>
      <c r="U177" s="19" t="s">
        <v>75</v>
      </c>
      <c r="V177" s="19" t="s">
        <v>56</v>
      </c>
      <c r="W177" s="19" t="s">
        <v>138</v>
      </c>
      <c r="X177" s="19" t="s">
        <v>743</v>
      </c>
      <c r="Y177" s="19" t="s">
        <v>182</v>
      </c>
      <c r="Z177" s="19" t="s">
        <v>930</v>
      </c>
      <c r="AA177" s="19">
        <v>1</v>
      </c>
      <c r="AB177" s="19">
        <v>1</v>
      </c>
      <c r="AC177" s="19" t="s">
        <v>60</v>
      </c>
      <c r="AD177" s="19" t="s">
        <v>189</v>
      </c>
      <c r="AE177" s="19" t="s">
        <v>303</v>
      </c>
      <c r="AF177" s="19"/>
    </row>
    <row r="178" spans="1:34" customHeight="1" ht="42">
      <c r="A178" s="19">
        <v>170</v>
      </c>
      <c r="B178" s="19" t="s">
        <v>321</v>
      </c>
      <c r="C178" s="19" t="s">
        <v>931</v>
      </c>
      <c r="D178" s="19" t="str">
        <f>HYPERLINK("http://www.henontech.com/fieldsafety/harzard/harzard_show.php?rid=1661&amp;url=harzardrecs.php","氨水循环泵电机线缆未平铺到地面，一名操作工巡检时被其绊倒，皮肤外皮擦伤，医务室就医。")</f>
        <v>氨水循环泵电机线缆未平铺到地面，一名操作工巡检时被其绊倒，皮肤外皮擦伤，医务室就医。</v>
      </c>
      <c r="E178" s="19" t="s">
        <v>932</v>
      </c>
      <c r="F178" s="20" t="s">
        <v>42</v>
      </c>
      <c r="G178" s="21" t="s">
        <v>43</v>
      </c>
      <c r="H178" s="19" t="s">
        <v>44</v>
      </c>
      <c r="I178" s="19"/>
      <c r="J178" s="19" t="s">
        <v>46</v>
      </c>
      <c r="K178" s="19" t="s">
        <v>69</v>
      </c>
      <c r="L178" s="19" t="s">
        <v>48</v>
      </c>
      <c r="M178" s="19" t="s">
        <v>96</v>
      </c>
      <c r="N178" s="19" t="s">
        <v>933</v>
      </c>
      <c r="O178" s="19" t="s">
        <v>96</v>
      </c>
      <c r="P178" s="19" t="s">
        <v>189</v>
      </c>
      <c r="Q178" s="19" t="s">
        <v>778</v>
      </c>
      <c r="R178" s="19" t="s">
        <v>934</v>
      </c>
      <c r="S178" s="19"/>
      <c r="T178" s="19" t="s">
        <v>54</v>
      </c>
      <c r="U178" s="19" t="s">
        <v>75</v>
      </c>
      <c r="V178" s="19" t="s">
        <v>56</v>
      </c>
      <c r="W178" s="19" t="s">
        <v>138</v>
      </c>
      <c r="X178" s="19" t="s">
        <v>235</v>
      </c>
      <c r="Y178" s="19" t="s">
        <v>235</v>
      </c>
      <c r="Z178" s="19" t="s">
        <v>935</v>
      </c>
      <c r="AA178" s="19">
        <v>2</v>
      </c>
      <c r="AB178" s="19">
        <v>1</v>
      </c>
      <c r="AC178" s="19" t="s">
        <v>60</v>
      </c>
      <c r="AD178" s="19" t="s">
        <v>189</v>
      </c>
      <c r="AE178" s="19" t="s">
        <v>303</v>
      </c>
      <c r="AF178" s="19"/>
    </row>
    <row r="179" spans="1:34">
      <c r="A179" s="19">
        <v>171</v>
      </c>
      <c r="B179" s="19" t="s">
        <v>321</v>
      </c>
      <c r="C179" s="19" t="s">
        <v>449</v>
      </c>
      <c r="D179" s="19" t="str">
        <f>HYPERLINK("http://www.henontech.com/fieldsafety/harzard/harzard_show.php?rid=1665&amp;url=harzardrecs.php","干熄焦地下室冷焦带护栏检修后末按装恢复，一巡检人员巡检时，右手不慎碰触到旋转的托辊，右手手背被托辊和冷焦带挤伤，经简单抱扎后正常工作。")</f>
        <v>干熄焦地下室冷焦带护栏检修后末按装恢复，一巡检人员巡检时，右手不慎碰触到旋转的托辊，右手手背被托辊和冷焦带挤伤，经简单抱扎后正常工作。</v>
      </c>
      <c r="E179" s="19" t="s">
        <v>936</v>
      </c>
      <c r="F179" s="20" t="s">
        <v>42</v>
      </c>
      <c r="G179" s="21" t="s">
        <v>43</v>
      </c>
      <c r="H179" s="19" t="s">
        <v>44</v>
      </c>
      <c r="I179" s="19"/>
      <c r="J179" s="19" t="s">
        <v>68</v>
      </c>
      <c r="K179" s="19"/>
      <c r="L179" s="19"/>
      <c r="M179" s="19" t="s">
        <v>117</v>
      </c>
      <c r="N179" s="19" t="s">
        <v>937</v>
      </c>
      <c r="O179" s="19" t="s">
        <v>117</v>
      </c>
      <c r="P179" s="19" t="s">
        <v>692</v>
      </c>
      <c r="Q179" s="19" t="s">
        <v>727</v>
      </c>
      <c r="R179" s="19" t="s">
        <v>938</v>
      </c>
      <c r="S179" s="19" t="s">
        <v>939</v>
      </c>
      <c r="T179" s="19" t="s">
        <v>54</v>
      </c>
      <c r="U179" s="19" t="s">
        <v>75</v>
      </c>
      <c r="V179" s="19" t="s">
        <v>101</v>
      </c>
      <c r="W179" s="19" t="s">
        <v>77</v>
      </c>
      <c r="X179" s="19" t="s">
        <v>226</v>
      </c>
      <c r="Y179" s="19" t="s">
        <v>172</v>
      </c>
      <c r="Z179" s="19" t="s">
        <v>940</v>
      </c>
      <c r="AA179" s="19">
        <v>1</v>
      </c>
      <c r="AB179" s="19">
        <v>1</v>
      </c>
      <c r="AC179" s="19" t="s">
        <v>60</v>
      </c>
      <c r="AD179" s="19" t="s">
        <v>692</v>
      </c>
      <c r="AE179" s="19" t="s">
        <v>569</v>
      </c>
      <c r="AF179" s="19"/>
    </row>
    <row r="180" spans="1:34" customHeight="1" ht="42">
      <c r="A180" s="19">
        <v>172</v>
      </c>
      <c r="B180" s="19" t="s">
        <v>321</v>
      </c>
      <c r="C180" s="19" t="s">
        <v>941</v>
      </c>
      <c r="D180" s="19" t="str">
        <f>HYPERLINK("http://www.henontech.com/fieldsafety/harzard/harzard_show.php?rid=1676&amp;url=harzardrecs.php","预处理污泥泵房，污泥泵防护罩未在有效位置，室内管线混乱，操作人员在巡检时由于地面湿滑，导致仰面跌倒，手肘着地，造成右手尺骨骨折，损工44天。")</f>
        <v>预处理污泥泵房，污泥泵防护罩未在有效位置，室内管线混乱，操作人员在巡检时由于地面湿滑，导致仰面跌倒，手肘着地，造成右手尺骨骨折，损工44天。</v>
      </c>
      <c r="E180" s="19" t="s">
        <v>942</v>
      </c>
      <c r="F180" s="20" t="s">
        <v>42</v>
      </c>
      <c r="G180" s="21" t="s">
        <v>43</v>
      </c>
      <c r="H180" s="19" t="s">
        <v>44</v>
      </c>
      <c r="I180" s="19" t="s">
        <v>45</v>
      </c>
      <c r="J180" s="19" t="s">
        <v>46</v>
      </c>
      <c r="K180" s="19" t="s">
        <v>145</v>
      </c>
      <c r="L180" s="19" t="s">
        <v>48</v>
      </c>
      <c r="M180" s="19" t="s">
        <v>49</v>
      </c>
      <c r="N180" s="19" t="s">
        <v>943</v>
      </c>
      <c r="O180" s="19" t="s">
        <v>49</v>
      </c>
      <c r="P180" s="19" t="s">
        <v>523</v>
      </c>
      <c r="Q180" s="19" t="s">
        <v>944</v>
      </c>
      <c r="R180" s="19" t="s">
        <v>945</v>
      </c>
      <c r="S180" s="19"/>
      <c r="T180" s="19" t="s">
        <v>54</v>
      </c>
      <c r="U180" s="19" t="s">
        <v>55</v>
      </c>
      <c r="V180" s="19" t="s">
        <v>56</v>
      </c>
      <c r="W180" s="19" t="s">
        <v>57</v>
      </c>
      <c r="X180" s="19" t="s">
        <v>58</v>
      </c>
      <c r="Y180" s="19" t="s">
        <v>58</v>
      </c>
      <c r="Z180" s="19" t="s">
        <v>946</v>
      </c>
      <c r="AA180" s="19">
        <v>2</v>
      </c>
      <c r="AB180" s="19">
        <v>2</v>
      </c>
      <c r="AC180" s="19" t="s">
        <v>60</v>
      </c>
      <c r="AD180" s="19" t="s">
        <v>523</v>
      </c>
      <c r="AE180" s="19" t="s">
        <v>439</v>
      </c>
      <c r="AF180" s="19" t="s">
        <v>62</v>
      </c>
    </row>
    <row r="181" spans="1:34">
      <c r="A181" s="19">
        <v>173</v>
      </c>
      <c r="B181" s="19" t="s">
        <v>947</v>
      </c>
      <c r="C181" s="19" t="s">
        <v>364</v>
      </c>
      <c r="D181" s="19" t="str">
        <f>HYPERLINK("http://www.henontech.com/fieldsafety/harzard/harzard_show.php?rid=1677&amp;url=harzardrecs.php","转化离心风机联轴器胶塞磨损严重，机体剧烈振动，噪音增大，如果处理不及时会导致电机损坏，风机停运，系统停车，影响生产。")</f>
        <v>转化离心风机联轴器胶塞磨损严重，机体剧烈振动，噪音增大，如果处理不及时会导致电机损坏，风机停运，系统停车，影响生产。</v>
      </c>
      <c r="E181" s="19" t="s">
        <v>948</v>
      </c>
      <c r="F181" s="20" t="s">
        <v>42</v>
      </c>
      <c r="G181" s="21" t="s">
        <v>43</v>
      </c>
      <c r="H181" s="19" t="s">
        <v>44</v>
      </c>
      <c r="I181" s="19"/>
      <c r="J181" s="19" t="s">
        <v>334</v>
      </c>
      <c r="K181" s="19" t="s">
        <v>47</v>
      </c>
      <c r="L181" s="19" t="s">
        <v>48</v>
      </c>
      <c r="M181" s="19" t="s">
        <v>96</v>
      </c>
      <c r="N181" s="19" t="s">
        <v>897</v>
      </c>
      <c r="O181" s="19" t="s">
        <v>96</v>
      </c>
      <c r="P181" s="19" t="s">
        <v>97</v>
      </c>
      <c r="Q181" s="19" t="s">
        <v>457</v>
      </c>
      <c r="R181" s="19" t="s">
        <v>898</v>
      </c>
      <c r="S181" s="19"/>
      <c r="T181" s="19" t="s">
        <v>100</v>
      </c>
      <c r="U181" s="19" t="s">
        <v>55</v>
      </c>
      <c r="V181" s="19" t="s">
        <v>56</v>
      </c>
      <c r="W181" s="19" t="s">
        <v>57</v>
      </c>
      <c r="X181" s="19" t="s">
        <v>182</v>
      </c>
      <c r="Y181" s="19" t="s">
        <v>743</v>
      </c>
      <c r="Z181" s="19" t="s">
        <v>949</v>
      </c>
      <c r="AA181" s="19">
        <v>1</v>
      </c>
      <c r="AB181" s="19">
        <v>1</v>
      </c>
      <c r="AC181" s="19" t="s">
        <v>60</v>
      </c>
      <c r="AD181" s="19" t="s">
        <v>97</v>
      </c>
      <c r="AE181" s="19" t="s">
        <v>303</v>
      </c>
      <c r="AF181" s="19" t="s">
        <v>950</v>
      </c>
    </row>
    <row r="182" spans="1:34">
      <c r="A182" s="19">
        <v>174</v>
      </c>
      <c r="B182" s="19" t="s">
        <v>947</v>
      </c>
      <c r="C182" s="19" t="s">
        <v>941</v>
      </c>
      <c r="D182" s="19" t="str">
        <f>HYPERLINK("http://www.henontech.com/fieldsafety/harzard/harzard_show.php?rid=1681&amp;url=harzardrecs.php","酸碱罐围堰深一米半，无爬梯，操作工进池内巡检设备，打扫卫生，攀爬围堰时不慎跌倒，造成:脚腕扭伤，需休息一天的误工损伤事故")</f>
        <v>酸碱罐围堰深一米半，无爬梯，操作工进池内巡检设备，打扫卫生，攀爬围堰时不慎跌倒，造成:脚腕扭伤，需休息一天的误工损伤事故</v>
      </c>
      <c r="E182" s="19" t="s">
        <v>951</v>
      </c>
      <c r="F182" s="20" t="s">
        <v>42</v>
      </c>
      <c r="G182" s="21" t="s">
        <v>43</v>
      </c>
      <c r="H182" s="19" t="s">
        <v>44</v>
      </c>
      <c r="I182" s="19" t="s">
        <v>83</v>
      </c>
      <c r="J182" s="19" t="s">
        <v>46</v>
      </c>
      <c r="K182" s="19" t="s">
        <v>47</v>
      </c>
      <c r="L182" s="19" t="s">
        <v>48</v>
      </c>
      <c r="M182" s="19" t="s">
        <v>49</v>
      </c>
      <c r="N182" s="19" t="s">
        <v>952</v>
      </c>
      <c r="O182" s="19" t="s">
        <v>49</v>
      </c>
      <c r="P182" s="19" t="s">
        <v>51</v>
      </c>
      <c r="Q182" s="19" t="s">
        <v>891</v>
      </c>
      <c r="R182" s="19" t="s">
        <v>953</v>
      </c>
      <c r="S182" s="19"/>
      <c r="T182" s="19" t="s">
        <v>54</v>
      </c>
      <c r="U182" s="19" t="s">
        <v>75</v>
      </c>
      <c r="V182" s="19" t="s">
        <v>56</v>
      </c>
      <c r="W182" s="19" t="s">
        <v>138</v>
      </c>
      <c r="X182" s="19" t="s">
        <v>58</v>
      </c>
      <c r="Y182" s="19" t="s">
        <v>58</v>
      </c>
      <c r="Z182" s="19" t="s">
        <v>954</v>
      </c>
      <c r="AA182" s="19">
        <v>1</v>
      </c>
      <c r="AB182" s="19">
        <v>1</v>
      </c>
      <c r="AC182" s="19" t="s">
        <v>60</v>
      </c>
      <c r="AD182" s="19" t="s">
        <v>51</v>
      </c>
      <c r="AE182" s="19" t="s">
        <v>569</v>
      </c>
      <c r="AF182" s="19" t="s">
        <v>62</v>
      </c>
    </row>
    <row r="183" spans="1:34">
      <c r="A183" s="19">
        <v>175</v>
      </c>
      <c r="B183" s="19" t="s">
        <v>947</v>
      </c>
      <c r="C183" s="19" t="s">
        <v>364</v>
      </c>
      <c r="D183" s="19" t="str">
        <f>HYPERLINK("http://www.henontech.com/fieldsafety/harzard/harzard_show.php?rid=1683&amp;url=harzardrecs.php","1万m³气柜水槽溢水口水渠盖板缺失，夜间视线差，巡检工开阀门时，右脚踩空扭伤脚踝，休假3天。")</f>
        <v>1万m³气柜水槽溢水口水渠盖板缺失，夜间视线差，巡检工开阀门时，右脚踩空扭伤脚踝，休假3天。</v>
      </c>
      <c r="E183" s="19" t="s">
        <v>955</v>
      </c>
      <c r="F183" s="20" t="s">
        <v>42</v>
      </c>
      <c r="G183" s="21" t="s">
        <v>43</v>
      </c>
      <c r="H183" s="19" t="s">
        <v>44</v>
      </c>
      <c r="I183" s="19"/>
      <c r="J183" s="19" t="s">
        <v>46</v>
      </c>
      <c r="K183" s="19" t="s">
        <v>69</v>
      </c>
      <c r="L183" s="19"/>
      <c r="M183" s="19" t="s">
        <v>96</v>
      </c>
      <c r="N183" s="19" t="s">
        <v>956</v>
      </c>
      <c r="O183" s="19" t="s">
        <v>96</v>
      </c>
      <c r="P183" s="19" t="s">
        <v>180</v>
      </c>
      <c r="Q183" s="19" t="s">
        <v>457</v>
      </c>
      <c r="R183" s="19" t="s">
        <v>957</v>
      </c>
      <c r="S183" s="19"/>
      <c r="T183" s="19" t="s">
        <v>54</v>
      </c>
      <c r="U183" s="19" t="s">
        <v>55</v>
      </c>
      <c r="V183" s="19" t="s">
        <v>56</v>
      </c>
      <c r="W183" s="19" t="s">
        <v>57</v>
      </c>
      <c r="X183" s="19"/>
      <c r="Y183" s="19"/>
      <c r="Z183" s="19" t="s">
        <v>958</v>
      </c>
      <c r="AA183" s="19">
        <v>1</v>
      </c>
      <c r="AB183" s="19">
        <v>1</v>
      </c>
      <c r="AC183" s="19" t="s">
        <v>60</v>
      </c>
      <c r="AD183" s="19" t="s">
        <v>180</v>
      </c>
      <c r="AE183" s="19" t="s">
        <v>569</v>
      </c>
      <c r="AF183" s="19"/>
    </row>
    <row r="184" spans="1:34">
      <c r="A184" s="19">
        <v>176</v>
      </c>
      <c r="B184" s="19" t="s">
        <v>303</v>
      </c>
      <c r="C184" s="19" t="s">
        <v>769</v>
      </c>
      <c r="D184" s="19" t="str">
        <f>HYPERLINK("http://www.henontech.com/fieldsafety/harzard/harzard_show.php?rid=1684&amp;url=harzardrecs.php","化工厂压缩岗位北管架支撑处有钢绞线掉落，如果行人经过此处因钢绞线细不易发现，容易被刮伤。")</f>
        <v>化工厂压缩岗位北管架支撑处有钢绞线掉落，如果行人经过此处因钢绞线细不易发现，容易被刮伤。</v>
      </c>
      <c r="E184" s="19" t="s">
        <v>959</v>
      </c>
      <c r="F184" s="20" t="s">
        <v>42</v>
      </c>
      <c r="G184" s="21" t="s">
        <v>43</v>
      </c>
      <c r="H184" s="19" t="s">
        <v>44</v>
      </c>
      <c r="I184" s="19" t="s">
        <v>67</v>
      </c>
      <c r="J184" s="19" t="s">
        <v>46</v>
      </c>
      <c r="K184" s="19" t="s">
        <v>209</v>
      </c>
      <c r="L184" s="19" t="s">
        <v>48</v>
      </c>
      <c r="M184" s="19" t="s">
        <v>96</v>
      </c>
      <c r="N184" s="19" t="s">
        <v>960</v>
      </c>
      <c r="O184" s="19" t="s">
        <v>96</v>
      </c>
      <c r="P184" s="19" t="s">
        <v>340</v>
      </c>
      <c r="Q184" s="19" t="s">
        <v>891</v>
      </c>
      <c r="R184" s="19" t="s">
        <v>961</v>
      </c>
      <c r="S184" s="19"/>
      <c r="T184" s="19" t="s">
        <v>54</v>
      </c>
      <c r="U184" s="19" t="s">
        <v>75</v>
      </c>
      <c r="V184" s="19" t="s">
        <v>101</v>
      </c>
      <c r="W184" s="19" t="s">
        <v>77</v>
      </c>
      <c r="X184" s="19" t="s">
        <v>235</v>
      </c>
      <c r="Y184" s="19" t="s">
        <v>235</v>
      </c>
      <c r="Z184" s="19" t="s">
        <v>962</v>
      </c>
      <c r="AA184" s="19">
        <v>1</v>
      </c>
      <c r="AB184" s="19">
        <v>1</v>
      </c>
      <c r="AC184" s="19" t="s">
        <v>60</v>
      </c>
      <c r="AD184" s="19" t="s">
        <v>340</v>
      </c>
      <c r="AE184" s="19" t="s">
        <v>500</v>
      </c>
      <c r="AF184" s="19" t="s">
        <v>963</v>
      </c>
    </row>
    <row r="185" spans="1:34">
      <c r="A185" s="19">
        <v>177</v>
      </c>
      <c r="B185" s="19" t="s">
        <v>303</v>
      </c>
      <c r="C185" s="19" t="s">
        <v>565</v>
      </c>
      <c r="D185" s="19" t="str">
        <f>HYPERLINK("http://www.henontech.com/fieldsafety/harzard/harzard_show.php?rid=1690&amp;url=harzardrecs.php","脱硫泵1号泵处小井井盖未盖严，一名巡检人员夜间巡检银光线不好不慎踏空，造成腿部擦伤。")</f>
        <v>脱硫泵1号泵处小井井盖未盖严，一名巡检人员夜间巡检银光线不好不慎踏空，造成腿部擦伤。</v>
      </c>
      <c r="E185" s="19" t="s">
        <v>964</v>
      </c>
      <c r="F185" s="24" t="s">
        <v>387</v>
      </c>
      <c r="G185" s="21" t="s">
        <v>43</v>
      </c>
      <c r="H185" s="19" t="s">
        <v>44</v>
      </c>
      <c r="I185" s="19"/>
      <c r="J185" s="19" t="s">
        <v>46</v>
      </c>
      <c r="K185" s="19" t="s">
        <v>69</v>
      </c>
      <c r="L185" s="19"/>
      <c r="M185" s="19" t="s">
        <v>96</v>
      </c>
      <c r="N185" s="19" t="s">
        <v>965</v>
      </c>
      <c r="O185" s="19"/>
      <c r="P185" s="19"/>
      <c r="Q185" s="19"/>
      <c r="R185" s="19" t="s">
        <v>966</v>
      </c>
      <c r="S185" s="19" t="s">
        <v>967</v>
      </c>
      <c r="T185" s="19" t="s">
        <v>54</v>
      </c>
      <c r="U185" s="19" t="s">
        <v>75</v>
      </c>
      <c r="V185" s="19" t="s">
        <v>56</v>
      </c>
      <c r="W185" s="19" t="s">
        <v>138</v>
      </c>
      <c r="X185" s="19"/>
      <c r="Y185" s="19"/>
      <c r="Z185" s="19"/>
      <c r="AA185" s="19">
        <v>0</v>
      </c>
      <c r="AB185" s="19"/>
      <c r="AC185" s="19" t="s">
        <v>392</v>
      </c>
      <c r="AD185" s="19"/>
      <c r="AE185" s="19"/>
      <c r="AF185" s="19"/>
    </row>
    <row r="186" spans="1:34">
      <c r="A186" s="19">
        <v>178</v>
      </c>
      <c r="B186" s="19" t="s">
        <v>303</v>
      </c>
      <c r="C186" s="19" t="s">
        <v>968</v>
      </c>
      <c r="D186" s="19" t="str">
        <f>HYPERLINK("http://www.henontech.com/fieldsafety/harzard/harzard_show.php?rid=1691&amp;url=harzardrecs.php","停车场北地面有坑未整平盖网，当一名操作工打扫卫生清理树叶时踩入坑内，不慎将脚踝扭伤。")</f>
        <v>停车场北地面有坑未整平盖网，当一名操作工打扫卫生清理树叶时踩入坑内，不慎将脚踝扭伤。</v>
      </c>
      <c r="E186" s="19" t="s">
        <v>969</v>
      </c>
      <c r="F186" s="20" t="s">
        <v>42</v>
      </c>
      <c r="G186" s="21" t="s">
        <v>43</v>
      </c>
      <c r="H186" s="19" t="s">
        <v>44</v>
      </c>
      <c r="I186" s="19" t="s">
        <v>83</v>
      </c>
      <c r="J186" s="19" t="s">
        <v>68</v>
      </c>
      <c r="K186" s="19" t="s">
        <v>69</v>
      </c>
      <c r="L186" s="19"/>
      <c r="M186" s="19" t="s">
        <v>96</v>
      </c>
      <c r="N186" s="19" t="s">
        <v>970</v>
      </c>
      <c r="O186" s="19" t="s">
        <v>96</v>
      </c>
      <c r="P186" s="19" t="s">
        <v>189</v>
      </c>
      <c r="Q186" s="19" t="s">
        <v>661</v>
      </c>
      <c r="R186" s="19" t="s">
        <v>971</v>
      </c>
      <c r="S186" s="19"/>
      <c r="T186" s="19" t="s">
        <v>54</v>
      </c>
      <c r="U186" s="19" t="s">
        <v>55</v>
      </c>
      <c r="V186" s="19" t="s">
        <v>271</v>
      </c>
      <c r="W186" s="19" t="s">
        <v>122</v>
      </c>
      <c r="X186" s="19"/>
      <c r="Y186" s="19"/>
      <c r="Z186" s="19" t="s">
        <v>972</v>
      </c>
      <c r="AA186" s="19">
        <v>1</v>
      </c>
      <c r="AB186" s="19">
        <v>1</v>
      </c>
      <c r="AC186" s="19" t="s">
        <v>60</v>
      </c>
      <c r="AD186" s="19" t="s">
        <v>189</v>
      </c>
      <c r="AE186" s="19" t="s">
        <v>262</v>
      </c>
      <c r="AF186" s="19"/>
    </row>
    <row r="187" spans="1:34">
      <c r="A187" s="19">
        <v>179</v>
      </c>
      <c r="B187" s="19" t="s">
        <v>303</v>
      </c>
      <c r="C187" s="19" t="s">
        <v>380</v>
      </c>
      <c r="D187" s="19" t="str">
        <f>HYPERLINK("http://www.henontech.com/fieldsafety/harzard/harzard_show.php?rid=1692&amp;url=harzardrecs.php","生产过程中，一铲车在准备驶出5号门时，将门外横向经过的电动车撞翻，造成电动车驾驶人员右侧肩部受伤，送医确诊为右侧锁骨骨折，住院治疗二十天，回家休养三个月后复工。")</f>
        <v>生产过程中，一铲车在准备驶出5号门时，将门外横向经过的电动车撞翻，造成电动车驾驶人员右侧肩部受伤，送医确诊为右侧锁骨骨折，住院治疗二十天，回家休养三个月后复工。</v>
      </c>
      <c r="E187" s="19" t="s">
        <v>973</v>
      </c>
      <c r="F187" s="20" t="s">
        <v>42</v>
      </c>
      <c r="G187" s="23" t="s">
        <v>231</v>
      </c>
      <c r="H187" s="19" t="s">
        <v>974</v>
      </c>
      <c r="I187" s="19" t="s">
        <v>437</v>
      </c>
      <c r="J187" s="19" t="s">
        <v>68</v>
      </c>
      <c r="K187" s="19" t="s">
        <v>69</v>
      </c>
      <c r="L187" s="19"/>
      <c r="M187" s="19" t="s">
        <v>285</v>
      </c>
      <c r="N187" s="19" t="s">
        <v>419</v>
      </c>
      <c r="O187" s="19" t="s">
        <v>285</v>
      </c>
      <c r="P187" s="19" t="s">
        <v>975</v>
      </c>
      <c r="Q187" s="19" t="s">
        <v>341</v>
      </c>
      <c r="R187" s="19" t="s">
        <v>976</v>
      </c>
      <c r="S187" s="19"/>
      <c r="T187" s="19" t="s">
        <v>54</v>
      </c>
      <c r="U187" s="19" t="s">
        <v>75</v>
      </c>
      <c r="V187" s="19" t="s">
        <v>56</v>
      </c>
      <c r="W187" s="19" t="s">
        <v>138</v>
      </c>
      <c r="X187" s="19"/>
      <c r="Y187" s="19"/>
      <c r="Z187" s="19" t="s">
        <v>977</v>
      </c>
      <c r="AA187" s="19">
        <v>1</v>
      </c>
      <c r="AB187" s="19">
        <v>1</v>
      </c>
      <c r="AC187" s="19" t="s">
        <v>60</v>
      </c>
      <c r="AD187" s="19" t="s">
        <v>975</v>
      </c>
      <c r="AE187" s="19" t="s">
        <v>303</v>
      </c>
      <c r="AF187" s="19" t="s">
        <v>978</v>
      </c>
    </row>
    <row r="188" spans="1:34">
      <c r="A188" s="19">
        <v>180</v>
      </c>
      <c r="B188" s="19" t="s">
        <v>341</v>
      </c>
      <c r="C188" s="19" t="s">
        <v>221</v>
      </c>
      <c r="D188" s="19" t="str">
        <f>HYPERLINK("http://www.henontech.com/fieldsafety/harzard/harzard_show.php?rid=1693&amp;url=harzardrecs.php","在出现干熄焦汽轮机设备故障停机时，因单人操作，无法同步操作以及排查故障和在主控室操作手忙脚乱，引发更大的设备事故甚至人员伤害")</f>
        <v>在出现干熄焦汽轮机设备故障停机时，因单人操作，无法同步操作以及排查故障和在主控室操作手忙脚乱，引发更大的设备事故甚至人员伤害</v>
      </c>
      <c r="E188" s="19" t="s">
        <v>979</v>
      </c>
      <c r="F188" s="20" t="s">
        <v>42</v>
      </c>
      <c r="G188" s="21" t="s">
        <v>43</v>
      </c>
      <c r="H188" s="19" t="s">
        <v>974</v>
      </c>
      <c r="I188" s="19" t="s">
        <v>761</v>
      </c>
      <c r="J188" s="19" t="s">
        <v>980</v>
      </c>
      <c r="K188" s="19" t="s">
        <v>47</v>
      </c>
      <c r="L188" s="19" t="s">
        <v>48</v>
      </c>
      <c r="M188" s="19" t="s">
        <v>117</v>
      </c>
      <c r="N188" s="19" t="s">
        <v>981</v>
      </c>
      <c r="O188" s="19" t="s">
        <v>117</v>
      </c>
      <c r="P188" s="19" t="s">
        <v>982</v>
      </c>
      <c r="Q188" s="19" t="s">
        <v>661</v>
      </c>
      <c r="R188" s="19" t="s">
        <v>983</v>
      </c>
      <c r="S188" s="19" t="s">
        <v>984</v>
      </c>
      <c r="T188" s="19" t="s">
        <v>985</v>
      </c>
      <c r="U188" s="19" t="s">
        <v>121</v>
      </c>
      <c r="V188" s="19" t="s">
        <v>101</v>
      </c>
      <c r="W188" s="19" t="s">
        <v>57</v>
      </c>
      <c r="X188" s="19" t="s">
        <v>986</v>
      </c>
      <c r="Y188" s="19"/>
      <c r="Z188" s="19" t="s">
        <v>987</v>
      </c>
      <c r="AA188" s="19">
        <v>1</v>
      </c>
      <c r="AB188" s="19">
        <v>1</v>
      </c>
      <c r="AC188" s="19" t="s">
        <v>60</v>
      </c>
      <c r="AD188" s="19" t="s">
        <v>982</v>
      </c>
      <c r="AE188" s="19" t="s">
        <v>544</v>
      </c>
      <c r="AF188" s="19" t="s">
        <v>988</v>
      </c>
    </row>
    <row r="189" spans="1:34">
      <c r="A189" s="19">
        <v>181</v>
      </c>
      <c r="B189" s="19" t="s">
        <v>341</v>
      </c>
      <c r="C189" s="19" t="s">
        <v>989</v>
      </c>
      <c r="D189" s="19" t="str">
        <f>HYPERLINK("http://www.henontech.com/fieldsafety/harzard/harzard_show.php?rid=1694&amp;url=harzardrecs.php","脱碳驰放气放空拉线无警示牌，巡检人员在巡检过程中被拉线划伤。")</f>
        <v>脱碳驰放气放空拉线无警示牌，巡检人员在巡检过程中被拉线划伤。</v>
      </c>
      <c r="E189" s="19" t="s">
        <v>990</v>
      </c>
      <c r="F189" s="24" t="s">
        <v>387</v>
      </c>
      <c r="G189" s="21" t="s">
        <v>43</v>
      </c>
      <c r="H189" s="19" t="s">
        <v>44</v>
      </c>
      <c r="I189" s="19"/>
      <c r="J189" s="19" t="s">
        <v>46</v>
      </c>
      <c r="K189" s="19" t="s">
        <v>69</v>
      </c>
      <c r="L189" s="19"/>
      <c r="M189" s="19" t="s">
        <v>96</v>
      </c>
      <c r="N189" s="19" t="s">
        <v>965</v>
      </c>
      <c r="O189" s="19"/>
      <c r="P189" s="19"/>
      <c r="Q189" s="19"/>
      <c r="R189" s="19" t="s">
        <v>991</v>
      </c>
      <c r="S189" s="19" t="s">
        <v>992</v>
      </c>
      <c r="T189" s="19" t="s">
        <v>54</v>
      </c>
      <c r="U189" s="19" t="s">
        <v>75</v>
      </c>
      <c r="V189" s="19" t="s">
        <v>56</v>
      </c>
      <c r="W189" s="19" t="s">
        <v>138</v>
      </c>
      <c r="X189" s="19"/>
      <c r="Y189" s="19"/>
      <c r="Z189" s="19"/>
      <c r="AA189" s="19">
        <v>0</v>
      </c>
      <c r="AB189" s="19"/>
      <c r="AC189" s="19" t="s">
        <v>392</v>
      </c>
      <c r="AD189" s="19"/>
      <c r="AE189" s="19"/>
      <c r="AF189" s="19"/>
    </row>
    <row r="190" spans="1:34">
      <c r="A190" s="19">
        <v>182</v>
      </c>
      <c r="B190" s="19" t="s">
        <v>341</v>
      </c>
      <c r="C190" s="19" t="s">
        <v>385</v>
      </c>
      <c r="D190" s="19" t="str">
        <f>HYPERLINK("http://www.henontech.com/fieldsafety/harzard/harzard_show.php?rid=1695&amp;url=harzardrecs.php","一名操作工，巡检时，氧气瓶倾倒，砸中脚面，造成该操作工脚面骨折。")</f>
        <v>一名操作工，巡检时，氧气瓶倾倒，砸中脚面，造成该操作工脚面骨折。</v>
      </c>
      <c r="E190" s="19" t="s">
        <v>993</v>
      </c>
      <c r="F190" s="20" t="s">
        <v>42</v>
      </c>
      <c r="G190" s="21" t="s">
        <v>43</v>
      </c>
      <c r="H190" s="19" t="s">
        <v>44</v>
      </c>
      <c r="I190" s="19" t="s">
        <v>388</v>
      </c>
      <c r="J190" s="19" t="s">
        <v>68</v>
      </c>
      <c r="K190" s="19" t="s">
        <v>145</v>
      </c>
      <c r="L190" s="19" t="s">
        <v>48</v>
      </c>
      <c r="M190" s="19" t="s">
        <v>96</v>
      </c>
      <c r="N190" s="19" t="s">
        <v>389</v>
      </c>
      <c r="O190" s="19" t="s">
        <v>96</v>
      </c>
      <c r="P190" s="19" t="s">
        <v>189</v>
      </c>
      <c r="Q190" s="19" t="s">
        <v>457</v>
      </c>
      <c r="R190" s="19" t="s">
        <v>390</v>
      </c>
      <c r="S190" s="19"/>
      <c r="T190" s="19" t="s">
        <v>54</v>
      </c>
      <c r="U190" s="19" t="s">
        <v>55</v>
      </c>
      <c r="V190" s="19" t="s">
        <v>56</v>
      </c>
      <c r="W190" s="19" t="s">
        <v>57</v>
      </c>
      <c r="X190" s="19" t="s">
        <v>743</v>
      </c>
      <c r="Y190" s="19" t="s">
        <v>123</v>
      </c>
      <c r="Z190" s="19" t="s">
        <v>994</v>
      </c>
      <c r="AA190" s="19">
        <v>1</v>
      </c>
      <c r="AB190" s="19">
        <v>1</v>
      </c>
      <c r="AC190" s="19" t="s">
        <v>60</v>
      </c>
      <c r="AD190" s="19" t="s">
        <v>189</v>
      </c>
      <c r="AE190" s="19" t="s">
        <v>140</v>
      </c>
      <c r="AF190" s="19"/>
    </row>
    <row r="191" spans="1:34">
      <c r="A191" s="19">
        <v>183</v>
      </c>
      <c r="B191" s="19" t="s">
        <v>341</v>
      </c>
      <c r="C191" s="19" t="s">
        <v>385</v>
      </c>
      <c r="D191" s="19" t="str">
        <f>HYPERLINK("http://www.henontech.com/fieldsafety/harzard/harzard_show.php?rid=1696&amp;url=harzardrecs.php","由于空分循环水池循补水阀悬挂一F扳手，一名操作工巡检到此处时，扳手不慎掉落砸到了这名操作工的脚上，造成该操作工脚面骨折。")</f>
        <v>由于空分循环水池循补水阀悬挂一F扳手，一名操作工巡检到此处时，扳手不慎掉落砸到了这名操作工的脚上，造成该操作工脚面骨折。</v>
      </c>
      <c r="E191" s="19" t="s">
        <v>995</v>
      </c>
      <c r="F191" s="20" t="s">
        <v>42</v>
      </c>
      <c r="G191" s="21" t="s">
        <v>43</v>
      </c>
      <c r="H191" s="19" t="s">
        <v>44</v>
      </c>
      <c r="I191" s="19"/>
      <c r="J191" s="19"/>
      <c r="K191" s="19" t="s">
        <v>69</v>
      </c>
      <c r="L191" s="19" t="s">
        <v>48</v>
      </c>
      <c r="M191" s="19" t="s">
        <v>96</v>
      </c>
      <c r="N191" s="19" t="s">
        <v>996</v>
      </c>
      <c r="O191" s="19" t="s">
        <v>96</v>
      </c>
      <c r="P191" s="19" t="s">
        <v>189</v>
      </c>
      <c r="Q191" s="19" t="s">
        <v>457</v>
      </c>
      <c r="R191" s="19" t="s">
        <v>997</v>
      </c>
      <c r="S191" s="19"/>
      <c r="T191" s="19" t="s">
        <v>54</v>
      </c>
      <c r="U191" s="19" t="s">
        <v>55</v>
      </c>
      <c r="V191" s="19" t="s">
        <v>271</v>
      </c>
      <c r="W191" s="19" t="s">
        <v>122</v>
      </c>
      <c r="X191" s="19" t="s">
        <v>743</v>
      </c>
      <c r="Y191" s="19" t="s">
        <v>998</v>
      </c>
      <c r="Z191" s="19" t="s">
        <v>999</v>
      </c>
      <c r="AA191" s="19">
        <v>1</v>
      </c>
      <c r="AB191" s="19">
        <v>1</v>
      </c>
      <c r="AC191" s="19" t="s">
        <v>60</v>
      </c>
      <c r="AD191" s="19" t="s">
        <v>189</v>
      </c>
      <c r="AE191" s="19" t="s">
        <v>140</v>
      </c>
      <c r="AF191" s="19"/>
    </row>
    <row r="192" spans="1:34">
      <c r="A192" s="19">
        <v>184</v>
      </c>
      <c r="B192" s="19" t="s">
        <v>341</v>
      </c>
      <c r="C192" s="19" t="s">
        <v>449</v>
      </c>
      <c r="D192" s="19" t="str">
        <f>HYPERLINK("http://www.henontech.com/fieldsafety/harzard/harzard_show.php?rid=1697&amp;url=harzardrecs.php","照明灯固定螺丝松动已向下倾斜，照明灯的底座支架腐蚀严重，一名巡检人员从此处通过检查焦罐衬板，如果固定照明灯螺丝断，掉落砸伤人员后背，去医务室简单包扎后上班。")</f>
        <v>照明灯固定螺丝松动已向下倾斜，照明灯的底座支架腐蚀严重，一名巡检人员从此处通过检查焦罐衬板，如果固定照明灯螺丝断，掉落砸伤人员后背，去医务室简单包扎后上班。</v>
      </c>
      <c r="E192" s="19" t="s">
        <v>1000</v>
      </c>
      <c r="F192" s="20" t="s">
        <v>42</v>
      </c>
      <c r="G192" s="21" t="s">
        <v>43</v>
      </c>
      <c r="H192" s="19" t="s">
        <v>44</v>
      </c>
      <c r="I192" s="19" t="s">
        <v>67</v>
      </c>
      <c r="J192" s="19" t="s">
        <v>46</v>
      </c>
      <c r="K192" s="19" t="s">
        <v>69</v>
      </c>
      <c r="L192" s="19"/>
      <c r="M192" s="19" t="s">
        <v>117</v>
      </c>
      <c r="N192" s="19" t="s">
        <v>1001</v>
      </c>
      <c r="O192" s="19" t="s">
        <v>117</v>
      </c>
      <c r="P192" s="19" t="s">
        <v>223</v>
      </c>
      <c r="Q192" s="19" t="s">
        <v>1002</v>
      </c>
      <c r="R192" s="19" t="s">
        <v>1003</v>
      </c>
      <c r="S192" s="19" t="s">
        <v>1004</v>
      </c>
      <c r="T192" s="19" t="s">
        <v>54</v>
      </c>
      <c r="U192" s="19" t="s">
        <v>75</v>
      </c>
      <c r="V192" s="19" t="s">
        <v>101</v>
      </c>
      <c r="W192" s="19" t="s">
        <v>77</v>
      </c>
      <c r="X192" s="19" t="s">
        <v>172</v>
      </c>
      <c r="Y192" s="19" t="s">
        <v>172</v>
      </c>
      <c r="Z192" s="19" t="s">
        <v>1005</v>
      </c>
      <c r="AA192" s="19">
        <v>1</v>
      </c>
      <c r="AB192" s="19">
        <v>1</v>
      </c>
      <c r="AC192" s="19" t="s">
        <v>60</v>
      </c>
      <c r="AD192" s="19" t="s">
        <v>223</v>
      </c>
      <c r="AE192" s="19" t="s">
        <v>693</v>
      </c>
      <c r="AF192" s="19" t="s">
        <v>1006</v>
      </c>
    </row>
    <row r="193" spans="1:34">
      <c r="A193" s="19">
        <v>185</v>
      </c>
      <c r="B193" s="19" t="s">
        <v>140</v>
      </c>
      <c r="C193" s="19" t="s">
        <v>1007</v>
      </c>
      <c r="D193" s="19" t="str">
        <f>HYPERLINK("http://www.henontech.com/fieldsafety/harzard/harzard_show.php?rid=1698&amp;url=harzardrecs.php","5#电解水处理器有故障，保运人员拆卸后，经确认不能短时间内修复，维修用支架没有及时撤走，一名操作工巡检时拨巡检指针，不慎被地面支架座绊倒，左胳膊脱臼，入院治疗，休息五日，无损工。")</f>
        <v>5#电解水处理器有故障，保运人员拆卸后，经确认不能短时间内修复，维修用支架没有及时撤走，一名操作工巡检时拨巡检指针，不慎被地面支架座绊倒，左胳膊脱臼，入院治疗，休息五日，无损工。</v>
      </c>
      <c r="E193" s="19" t="s">
        <v>1008</v>
      </c>
      <c r="F193" s="20" t="s">
        <v>42</v>
      </c>
      <c r="G193" s="21" t="s">
        <v>43</v>
      </c>
      <c r="H193" s="19" t="s">
        <v>44</v>
      </c>
      <c r="I193" s="19" t="s">
        <v>67</v>
      </c>
      <c r="J193" s="19" t="s">
        <v>46</v>
      </c>
      <c r="K193" s="19" t="s">
        <v>47</v>
      </c>
      <c r="L193" s="19" t="s">
        <v>48</v>
      </c>
      <c r="M193" s="19" t="s">
        <v>70</v>
      </c>
      <c r="N193" s="19" t="s">
        <v>1009</v>
      </c>
      <c r="O193" s="19" t="s">
        <v>70</v>
      </c>
      <c r="P193" s="19" t="s">
        <v>72</v>
      </c>
      <c r="Q193" s="19" t="s">
        <v>1010</v>
      </c>
      <c r="R193" s="19" t="s">
        <v>1011</v>
      </c>
      <c r="S193" s="19"/>
      <c r="T193" s="19" t="s">
        <v>54</v>
      </c>
      <c r="U193" s="19" t="s">
        <v>55</v>
      </c>
      <c r="V193" s="19" t="s">
        <v>101</v>
      </c>
      <c r="W193" s="19" t="s">
        <v>138</v>
      </c>
      <c r="X193" s="19"/>
      <c r="Y193" s="19"/>
      <c r="Z193" s="19" t="s">
        <v>1012</v>
      </c>
      <c r="AA193" s="19">
        <v>1</v>
      </c>
      <c r="AB193" s="19">
        <v>1</v>
      </c>
      <c r="AC193" s="19" t="s">
        <v>60</v>
      </c>
      <c r="AD193" s="19" t="s">
        <v>72</v>
      </c>
      <c r="AE193" s="19" t="s">
        <v>495</v>
      </c>
      <c r="AF193" s="19"/>
    </row>
    <row r="194" spans="1:34">
      <c r="A194" s="19">
        <v>186</v>
      </c>
      <c r="B194" s="19" t="s">
        <v>140</v>
      </c>
      <c r="C194" s="19" t="s">
        <v>879</v>
      </c>
      <c r="D194" s="19" t="str">
        <f>HYPERLINK("http://www.henontech.com/fieldsafety/harzard/harzard_show.php?rid=1699&amp;url=harzardrecs.php","射水箱爬梯无护笼，箱顶距地面3米，一员工巡检至水箱顶部反身下爬梯时，双手未抓牢跌落，臀部着地，造成尾椎骨骨折，损工三个月。")</f>
        <v>射水箱爬梯无护笼，箱顶距地面3米，一员工巡检至水箱顶部反身下爬梯时，双手未抓牢跌落，臀部着地，造成尾椎骨骨折，损工三个月。</v>
      </c>
      <c r="E194" s="19" t="s">
        <v>1013</v>
      </c>
      <c r="F194" s="24" t="s">
        <v>387</v>
      </c>
      <c r="G194" s="21" t="s">
        <v>43</v>
      </c>
      <c r="H194" s="19" t="s">
        <v>44</v>
      </c>
      <c r="I194" s="19" t="s">
        <v>45</v>
      </c>
      <c r="J194" s="19" t="s">
        <v>68</v>
      </c>
      <c r="K194" s="19" t="s">
        <v>166</v>
      </c>
      <c r="L194" s="19"/>
      <c r="M194" s="19" t="s">
        <v>117</v>
      </c>
      <c r="N194" s="19" t="s">
        <v>1014</v>
      </c>
      <c r="O194" s="19"/>
      <c r="P194" s="19"/>
      <c r="Q194" s="19"/>
      <c r="R194" s="19" t="s">
        <v>1015</v>
      </c>
      <c r="S194" s="19" t="s">
        <v>1016</v>
      </c>
      <c r="T194" s="19" t="s">
        <v>54</v>
      </c>
      <c r="U194" s="19" t="s">
        <v>55</v>
      </c>
      <c r="V194" s="19" t="s">
        <v>101</v>
      </c>
      <c r="W194" s="19" t="s">
        <v>138</v>
      </c>
      <c r="X194" s="19"/>
      <c r="Y194" s="19"/>
      <c r="Z194" s="19"/>
      <c r="AA194" s="19">
        <v>0</v>
      </c>
      <c r="AB194" s="19"/>
      <c r="AC194" s="19" t="s">
        <v>392</v>
      </c>
      <c r="AD194" s="19"/>
      <c r="AE194" s="19"/>
      <c r="AF194" s="19"/>
    </row>
    <row r="195" spans="1:34">
      <c r="A195" s="19">
        <v>187</v>
      </c>
      <c r="B195" s="19" t="s">
        <v>140</v>
      </c>
      <c r="C195" s="19" t="s">
        <v>1017</v>
      </c>
      <c r="D195" s="19" t="str">
        <f>HYPERLINK("http://www.henontech.com/fieldsafety/harzard/harzard_show.php?rid=1700&amp;url=harzardrecs.php","1号厂变室内轴流风扇控制线电缆破损电压为380伏，一名人员在未断开电源时违章操作擦拭轴流风扇造成触电死亡")</f>
        <v>1号厂变室内轴流风扇控制线电缆破损电压为380伏，一名人员在未断开电源时违章操作擦拭轴流风扇造成触电死亡</v>
      </c>
      <c r="E195" s="19" t="s">
        <v>1018</v>
      </c>
      <c r="F195" s="24" t="s">
        <v>387</v>
      </c>
      <c r="G195" s="21" t="s">
        <v>43</v>
      </c>
      <c r="H195" s="19" t="s">
        <v>44</v>
      </c>
      <c r="I195" s="19" t="s">
        <v>45</v>
      </c>
      <c r="J195" s="19" t="s">
        <v>202</v>
      </c>
      <c r="K195" s="19"/>
      <c r="L195" s="19"/>
      <c r="M195" s="19" t="s">
        <v>117</v>
      </c>
      <c r="N195" s="19" t="s">
        <v>1019</v>
      </c>
      <c r="O195" s="19"/>
      <c r="P195" s="19"/>
      <c r="Q195" s="19"/>
      <c r="R195" s="19" t="s">
        <v>1020</v>
      </c>
      <c r="S195" s="19" t="s">
        <v>1016</v>
      </c>
      <c r="T195" s="19" t="s">
        <v>54</v>
      </c>
      <c r="U195" s="19" t="s">
        <v>121</v>
      </c>
      <c r="V195" s="19" t="s">
        <v>101</v>
      </c>
      <c r="W195" s="19" t="s">
        <v>57</v>
      </c>
      <c r="X195" s="19"/>
      <c r="Y195" s="19"/>
      <c r="Z195" s="19"/>
      <c r="AA195" s="19">
        <v>0</v>
      </c>
      <c r="AB195" s="19"/>
      <c r="AC195" s="19" t="s">
        <v>392</v>
      </c>
      <c r="AD195" s="19"/>
      <c r="AE195" s="19"/>
      <c r="AF195" s="19"/>
    </row>
    <row r="196" spans="1:34">
      <c r="A196" s="19">
        <v>188</v>
      </c>
      <c r="B196" s="19" t="s">
        <v>140</v>
      </c>
      <c r="C196" s="19" t="s">
        <v>266</v>
      </c>
      <c r="D196" s="19" t="str">
        <f>HYPERLINK("http://www.henontech.com/fieldsafety/harzard/harzard_show.php?rid=1701&amp;url=harzardrecs.php","东风机1#电捕焦油器二层平台东南角处铁板腐蚀严重，如果一名操作人员在去关1#电捕出口阀门经过该处铁板时，铁板被踩破裂，造成一人左小腿掉入破裂铁板多处轻度划伤，送医进行包扎休息三天后复工。")</f>
        <v>东风机1#电捕焦油器二层平台东南角处铁板腐蚀严重，如果一名操作人员在去关1#电捕出口阀门经过该处铁板时，铁板被踩破裂，造成一人左小腿掉入破裂铁板多处轻度划伤，送医进行包扎休息三天后复工。</v>
      </c>
      <c r="E196" s="19" t="s">
        <v>1021</v>
      </c>
      <c r="F196" s="20" t="s">
        <v>42</v>
      </c>
      <c r="G196" s="21" t="s">
        <v>43</v>
      </c>
      <c r="H196" s="19" t="s">
        <v>44</v>
      </c>
      <c r="I196" s="19" t="s">
        <v>83</v>
      </c>
      <c r="J196" s="19" t="s">
        <v>46</v>
      </c>
      <c r="K196" s="19" t="s">
        <v>69</v>
      </c>
      <c r="L196" s="19" t="s">
        <v>48</v>
      </c>
      <c r="M196" s="19" t="s">
        <v>70</v>
      </c>
      <c r="N196" s="19" t="s">
        <v>295</v>
      </c>
      <c r="O196" s="19" t="s">
        <v>70</v>
      </c>
      <c r="P196" s="19" t="s">
        <v>72</v>
      </c>
      <c r="Q196" s="19" t="s">
        <v>1010</v>
      </c>
      <c r="R196" s="19" t="s">
        <v>1022</v>
      </c>
      <c r="S196" s="19"/>
      <c r="T196" s="19" t="s">
        <v>54</v>
      </c>
      <c r="U196" s="19" t="s">
        <v>55</v>
      </c>
      <c r="V196" s="19" t="s">
        <v>56</v>
      </c>
      <c r="W196" s="19" t="s">
        <v>57</v>
      </c>
      <c r="X196" s="19"/>
      <c r="Y196" s="19"/>
      <c r="Z196" s="19" t="s">
        <v>1023</v>
      </c>
      <c r="AA196" s="19">
        <v>1</v>
      </c>
      <c r="AB196" s="19">
        <v>1</v>
      </c>
      <c r="AC196" s="19" t="s">
        <v>60</v>
      </c>
      <c r="AD196" s="19" t="s">
        <v>72</v>
      </c>
      <c r="AE196" s="19" t="s">
        <v>140</v>
      </c>
      <c r="AF196" s="19"/>
    </row>
    <row r="197" spans="1:34">
      <c r="A197" s="19">
        <v>189</v>
      </c>
      <c r="B197" s="19" t="s">
        <v>140</v>
      </c>
      <c r="C197" s="19" t="s">
        <v>266</v>
      </c>
      <c r="D197" s="19" t="str">
        <f>HYPERLINK("http://www.henontech.com/fieldsafety/harzard/harzard_show.php?rid=1702&amp;url=harzardrecs.php","东风机2#电捕焦油器二层平台西侧人孔下部铁板腐蚀严重，如果一名维修人员在维修电捕拆卸人孔螺栓时，右腿踩到腐蚀严重的铁板上掉入铁板缝隙中，造成一人右小腿多处轻度划伤，送医进行包扎休息三天后复工。")</f>
        <v>东风机2#电捕焦油器二层平台西侧人孔下部铁板腐蚀严重，如果一名维修人员在维修电捕拆卸人孔螺栓时，右腿踩到腐蚀严重的铁板上掉入铁板缝隙中，造成一人右小腿多处轻度划伤，送医进行包扎休息三天后复工。</v>
      </c>
      <c r="E197" s="19" t="s">
        <v>1024</v>
      </c>
      <c r="F197" s="20" t="s">
        <v>42</v>
      </c>
      <c r="G197" s="21" t="s">
        <v>43</v>
      </c>
      <c r="H197" s="19" t="s">
        <v>44</v>
      </c>
      <c r="I197" s="19" t="s">
        <v>83</v>
      </c>
      <c r="J197" s="19" t="s">
        <v>46</v>
      </c>
      <c r="K197" s="19" t="s">
        <v>69</v>
      </c>
      <c r="L197" s="19" t="s">
        <v>48</v>
      </c>
      <c r="M197" s="19" t="s">
        <v>70</v>
      </c>
      <c r="N197" s="19" t="s">
        <v>1025</v>
      </c>
      <c r="O197" s="19" t="s">
        <v>70</v>
      </c>
      <c r="P197" s="19" t="s">
        <v>72</v>
      </c>
      <c r="Q197" s="19" t="s">
        <v>1010</v>
      </c>
      <c r="R197" s="19" t="s">
        <v>1026</v>
      </c>
      <c r="S197" s="19"/>
      <c r="T197" s="19" t="s">
        <v>54</v>
      </c>
      <c r="U197" s="19" t="s">
        <v>55</v>
      </c>
      <c r="V197" s="19" t="s">
        <v>56</v>
      </c>
      <c r="W197" s="19" t="s">
        <v>57</v>
      </c>
      <c r="X197" s="19"/>
      <c r="Y197" s="19"/>
      <c r="Z197" s="19" t="s">
        <v>1027</v>
      </c>
      <c r="AA197" s="19">
        <v>1</v>
      </c>
      <c r="AB197" s="19">
        <v>1</v>
      </c>
      <c r="AC197" s="19" t="s">
        <v>60</v>
      </c>
      <c r="AD197" s="19" t="s">
        <v>72</v>
      </c>
      <c r="AE197" s="19" t="s">
        <v>140</v>
      </c>
      <c r="AF197" s="19"/>
    </row>
    <row r="198" spans="1:34">
      <c r="A198" s="19">
        <v>190</v>
      </c>
      <c r="B198" s="19" t="s">
        <v>140</v>
      </c>
      <c r="C198" s="19" t="s">
        <v>449</v>
      </c>
      <c r="D198" s="19" t="str">
        <f>HYPERLINK("http://www.henontech.com/fieldsafety/harzard/harzard_show.php?rid=1703&amp;url=harzardrecs.php","地下室潜水泵电源线裸露，一名员工在冲洗地下室，水溅起喷落到裸露电线处导致连电，造成人员腿部处被电击穿，住院治疗，损工二个月。")</f>
        <v>地下室潜水泵电源线裸露，一名员工在冲洗地下室，水溅起喷落到裸露电线处导致连电，造成人员腿部处被电击穿，住院治疗，损工二个月。</v>
      </c>
      <c r="E198" s="19" t="s">
        <v>1028</v>
      </c>
      <c r="F198" s="20" t="s">
        <v>42</v>
      </c>
      <c r="G198" s="21" t="s">
        <v>43</v>
      </c>
      <c r="H198" s="19" t="s">
        <v>44</v>
      </c>
      <c r="I198" s="19" t="s">
        <v>83</v>
      </c>
      <c r="J198" s="19" t="s">
        <v>46</v>
      </c>
      <c r="K198" s="19"/>
      <c r="L198" s="19"/>
      <c r="M198" s="19" t="s">
        <v>117</v>
      </c>
      <c r="N198" s="19" t="s">
        <v>635</v>
      </c>
      <c r="O198" s="19" t="s">
        <v>117</v>
      </c>
      <c r="P198" s="19" t="s">
        <v>224</v>
      </c>
      <c r="Q198" s="19" t="s">
        <v>1002</v>
      </c>
      <c r="R198" s="19" t="s">
        <v>938</v>
      </c>
      <c r="S198" s="19" t="s">
        <v>1029</v>
      </c>
      <c r="T198" s="19" t="s">
        <v>54</v>
      </c>
      <c r="U198" s="19" t="s">
        <v>55</v>
      </c>
      <c r="V198" s="19" t="s">
        <v>56</v>
      </c>
      <c r="W198" s="19" t="s">
        <v>57</v>
      </c>
      <c r="X198" s="19" t="s">
        <v>58</v>
      </c>
      <c r="Y198" s="19"/>
      <c r="Z198" s="19" t="s">
        <v>1030</v>
      </c>
      <c r="AA198" s="19">
        <v>1</v>
      </c>
      <c r="AB198" s="19">
        <v>1</v>
      </c>
      <c r="AC198" s="19" t="s">
        <v>60</v>
      </c>
      <c r="AD198" s="19" t="s">
        <v>224</v>
      </c>
      <c r="AE198" s="19" t="s">
        <v>1031</v>
      </c>
      <c r="AF198" s="19"/>
    </row>
    <row r="199" spans="1:34" customHeight="1" ht="42">
      <c r="A199" s="19">
        <v>191</v>
      </c>
      <c r="B199" s="19" t="s">
        <v>140</v>
      </c>
      <c r="C199" s="19" t="s">
        <v>931</v>
      </c>
      <c r="D199" s="19" t="str">
        <f>HYPERLINK("http://www.henontech.com/fieldsafety/harzard/harzard_show.php?rid=1704&amp;url=harzardrecs.php","维修冰机时，一人未佩戴防护面具，如有氨气泄露，易刺激口、鼻、眼")</f>
        <v>维修冰机时，一人未佩戴防护面具，如有氨气泄露，易刺激口、鼻、眼</v>
      </c>
      <c r="E199" s="19" t="s">
        <v>1032</v>
      </c>
      <c r="F199" s="20" t="s">
        <v>42</v>
      </c>
      <c r="G199" s="23" t="s">
        <v>231</v>
      </c>
      <c r="H199" s="19" t="s">
        <v>44</v>
      </c>
      <c r="I199" s="19" t="s">
        <v>83</v>
      </c>
      <c r="J199" s="19" t="s">
        <v>68</v>
      </c>
      <c r="K199" s="19" t="s">
        <v>145</v>
      </c>
      <c r="L199" s="19" t="s">
        <v>584</v>
      </c>
      <c r="M199" s="19" t="s">
        <v>96</v>
      </c>
      <c r="N199" s="19" t="s">
        <v>1033</v>
      </c>
      <c r="O199" s="19" t="s">
        <v>96</v>
      </c>
      <c r="P199" s="19" t="s">
        <v>340</v>
      </c>
      <c r="Q199" s="19" t="s">
        <v>647</v>
      </c>
      <c r="R199" s="19" t="s">
        <v>1034</v>
      </c>
      <c r="S199" s="19"/>
      <c r="T199" s="19" t="s">
        <v>54</v>
      </c>
      <c r="U199" s="19" t="s">
        <v>192</v>
      </c>
      <c r="V199" s="19" t="s">
        <v>271</v>
      </c>
      <c r="W199" s="19" t="s">
        <v>77</v>
      </c>
      <c r="X199" s="19" t="s">
        <v>235</v>
      </c>
      <c r="Y199" s="19" t="s">
        <v>235</v>
      </c>
      <c r="Z199" s="19" t="s">
        <v>1035</v>
      </c>
      <c r="AA199" s="19">
        <v>2</v>
      </c>
      <c r="AB199" s="19">
        <v>2</v>
      </c>
      <c r="AC199" s="19" t="s">
        <v>60</v>
      </c>
      <c r="AD199" s="19" t="s">
        <v>340</v>
      </c>
      <c r="AE199" s="19" t="s">
        <v>500</v>
      </c>
      <c r="AF199" s="19" t="s">
        <v>1036</v>
      </c>
    </row>
    <row r="200" spans="1:34">
      <c r="A200" s="19">
        <v>192</v>
      </c>
      <c r="B200" s="19" t="s">
        <v>140</v>
      </c>
      <c r="C200" s="19" t="s">
        <v>266</v>
      </c>
      <c r="D200" s="19" t="str">
        <f>HYPERLINK("http://www.henontech.com/fieldsafety/harzard/harzard_show.php?rid=1705&amp;url=harzardrecs.php","初冷器平台3号初冷器接地线翘起，一名操作工在夜间冲洗初冷器经过此处时，不慎绊倒，造成操作工左手腕扭伤，在家休班一天的损工事故")</f>
        <v>初冷器平台3号初冷器接地线翘起，一名操作工在夜间冲洗初冷器经过此处时，不慎绊倒，造成操作工左手腕扭伤，在家休班一天的损工事故</v>
      </c>
      <c r="E200" s="19" t="s">
        <v>1037</v>
      </c>
      <c r="F200" s="20" t="s">
        <v>42</v>
      </c>
      <c r="G200" s="21" t="s">
        <v>43</v>
      </c>
      <c r="H200" s="19" t="s">
        <v>44</v>
      </c>
      <c r="I200" s="19"/>
      <c r="J200" s="19" t="s">
        <v>46</v>
      </c>
      <c r="K200" s="19" t="s">
        <v>69</v>
      </c>
      <c r="L200" s="19" t="s">
        <v>48</v>
      </c>
      <c r="M200" s="19" t="s">
        <v>70</v>
      </c>
      <c r="N200" s="19" t="s">
        <v>268</v>
      </c>
      <c r="O200" s="19" t="s">
        <v>70</v>
      </c>
      <c r="P200" s="19" t="s">
        <v>72</v>
      </c>
      <c r="Q200" s="19" t="s">
        <v>1010</v>
      </c>
      <c r="R200" s="19" t="s">
        <v>1038</v>
      </c>
      <c r="S200" s="19"/>
      <c r="T200" s="19" t="s">
        <v>54</v>
      </c>
      <c r="U200" s="19" t="s">
        <v>55</v>
      </c>
      <c r="V200" s="19" t="s">
        <v>56</v>
      </c>
      <c r="W200" s="19" t="s">
        <v>57</v>
      </c>
      <c r="X200" s="19"/>
      <c r="Y200" s="19"/>
      <c r="Z200" s="19" t="s">
        <v>1039</v>
      </c>
      <c r="AA200" s="19">
        <v>1</v>
      </c>
      <c r="AB200" s="19">
        <v>1</v>
      </c>
      <c r="AC200" s="19" t="s">
        <v>60</v>
      </c>
      <c r="AD200" s="19" t="s">
        <v>72</v>
      </c>
      <c r="AE200" s="19" t="s">
        <v>403</v>
      </c>
      <c r="AF200" s="19"/>
    </row>
    <row r="201" spans="1:34">
      <c r="A201" s="19">
        <v>193</v>
      </c>
      <c r="B201" s="19" t="s">
        <v>140</v>
      </c>
      <c r="C201" s="19" t="s">
        <v>364</v>
      </c>
      <c r="D201" s="19" t="str">
        <f>HYPERLINK("http://www.henontech.com/fieldsafety/harzard/harzard_show.php?rid=1709&amp;url=harzardrecs.php","三万气柜入口一个置换阀门法兰处螺丝松动漏气，一名操作人员巡检路过时中毒晕倒")</f>
        <v>三万气柜入口一个置换阀门法兰处螺丝松动漏气，一名操作人员巡检路过时中毒晕倒</v>
      </c>
      <c r="E201" s="19" t="s">
        <v>1040</v>
      </c>
      <c r="F201" s="20" t="s">
        <v>42</v>
      </c>
      <c r="G201" s="21" t="s">
        <v>43</v>
      </c>
      <c r="H201" s="19" t="s">
        <v>44</v>
      </c>
      <c r="I201" s="19" t="s">
        <v>45</v>
      </c>
      <c r="J201" s="19" t="s">
        <v>46</v>
      </c>
      <c r="K201" s="19" t="s">
        <v>47</v>
      </c>
      <c r="L201" s="19" t="s">
        <v>48</v>
      </c>
      <c r="M201" s="19" t="s">
        <v>96</v>
      </c>
      <c r="N201" s="19" t="s">
        <v>1041</v>
      </c>
      <c r="O201" s="19" t="s">
        <v>96</v>
      </c>
      <c r="P201" s="19" t="s">
        <v>97</v>
      </c>
      <c r="Q201" s="19" t="s">
        <v>457</v>
      </c>
      <c r="R201" s="19" t="s">
        <v>1042</v>
      </c>
      <c r="S201" s="19"/>
      <c r="T201" s="19" t="s">
        <v>54</v>
      </c>
      <c r="U201" s="19" t="s">
        <v>55</v>
      </c>
      <c r="V201" s="19" t="s">
        <v>271</v>
      </c>
      <c r="W201" s="19" t="s">
        <v>122</v>
      </c>
      <c r="X201" s="19" t="s">
        <v>226</v>
      </c>
      <c r="Y201" s="19" t="s">
        <v>743</v>
      </c>
      <c r="Z201" s="19" t="s">
        <v>1043</v>
      </c>
      <c r="AA201" s="19">
        <v>1</v>
      </c>
      <c r="AB201" s="19">
        <v>1</v>
      </c>
      <c r="AC201" s="19" t="s">
        <v>60</v>
      </c>
      <c r="AD201" s="19" t="s">
        <v>97</v>
      </c>
      <c r="AE201" s="19" t="s">
        <v>439</v>
      </c>
      <c r="AF201" s="19" t="s">
        <v>1044</v>
      </c>
    </row>
    <row r="202" spans="1:34">
      <c r="A202" s="19">
        <v>194</v>
      </c>
      <c r="B202" s="19" t="s">
        <v>140</v>
      </c>
      <c r="C202" s="19" t="s">
        <v>1017</v>
      </c>
      <c r="D202" s="19" t="str">
        <f>HYPERLINK("http://www.henontech.com/fieldsafety/harzard/harzard_show.php?rid=1710&amp;url=harzardrecs.php","脱硫泡沫泵操作伐附近地面一废槽钢高出地面约五厘米，当操作人员去操作伐门时不慎绊倒，造成右手腕轻微损伤。")</f>
        <v>脱硫泡沫泵操作伐附近地面一废槽钢高出地面约五厘米，当操作人员去操作伐门时不慎绊倒，造成右手腕轻微损伤。</v>
      </c>
      <c r="E202" s="19" t="s">
        <v>1045</v>
      </c>
      <c r="F202" s="24" t="s">
        <v>387</v>
      </c>
      <c r="G202" s="21" t="s">
        <v>43</v>
      </c>
      <c r="H202" s="19" t="s">
        <v>44</v>
      </c>
      <c r="I202" s="19" t="s">
        <v>45</v>
      </c>
      <c r="J202" s="19"/>
      <c r="K202" s="19" t="s">
        <v>145</v>
      </c>
      <c r="L202" s="19" t="s">
        <v>48</v>
      </c>
      <c r="M202" s="19" t="s">
        <v>96</v>
      </c>
      <c r="N202" s="19" t="s">
        <v>1046</v>
      </c>
      <c r="O202" s="19"/>
      <c r="P202" s="19"/>
      <c r="Q202" s="19"/>
      <c r="R202" s="19" t="s">
        <v>176</v>
      </c>
      <c r="S202" s="19" t="s">
        <v>1047</v>
      </c>
      <c r="T202" s="19" t="s">
        <v>54</v>
      </c>
      <c r="U202" s="19" t="s">
        <v>75</v>
      </c>
      <c r="V202" s="19" t="s">
        <v>271</v>
      </c>
      <c r="W202" s="19" t="s">
        <v>57</v>
      </c>
      <c r="X202" s="19"/>
      <c r="Y202" s="19"/>
      <c r="Z202" s="19"/>
      <c r="AA202" s="19">
        <v>0</v>
      </c>
      <c r="AB202" s="19"/>
      <c r="AC202" s="19" t="s">
        <v>392</v>
      </c>
      <c r="AD202" s="19"/>
      <c r="AE202" s="19"/>
      <c r="AF202" s="19"/>
    </row>
    <row r="203" spans="1:34">
      <c r="A203" s="19">
        <v>195</v>
      </c>
      <c r="B203" s="19" t="s">
        <v>140</v>
      </c>
      <c r="C203" s="19" t="s">
        <v>442</v>
      </c>
      <c r="D203" s="19" t="str">
        <f>HYPERLINK("http://www.henontech.com/fieldsafety/harzard/harzard_show.php?rid=1711&amp;url=harzardrecs.php","北脱硫工段循环槽附近雨水收集坑未盖好盖板，假如一名操作人员夜间巡检因光线不好从此处经过时，操作人员不慎掉入雨水收集坑，造成脚腕扭伤，经简单处理后不影响工作。")</f>
        <v>北脱硫工段循环槽附近雨水收集坑未盖好盖板，假如一名操作人员夜间巡检因光线不好从此处经过时，操作人员不慎掉入雨水收集坑，造成脚腕扭伤，经简单处理后不影响工作。</v>
      </c>
      <c r="E203" s="19" t="s">
        <v>1048</v>
      </c>
      <c r="F203" s="20" t="s">
        <v>42</v>
      </c>
      <c r="G203" s="21" t="s">
        <v>43</v>
      </c>
      <c r="H203" s="19" t="s">
        <v>44</v>
      </c>
      <c r="I203" s="19"/>
      <c r="J203" s="19" t="s">
        <v>46</v>
      </c>
      <c r="K203" s="19" t="s">
        <v>69</v>
      </c>
      <c r="L203" s="19"/>
      <c r="M203" s="19" t="s">
        <v>70</v>
      </c>
      <c r="N203" s="19" t="s">
        <v>1049</v>
      </c>
      <c r="O203" s="19" t="s">
        <v>70</v>
      </c>
      <c r="P203" s="19" t="s">
        <v>72</v>
      </c>
      <c r="Q203" s="19" t="s">
        <v>1010</v>
      </c>
      <c r="R203" s="19" t="s">
        <v>1050</v>
      </c>
      <c r="S203" s="19"/>
      <c r="T203" s="19" t="s">
        <v>54</v>
      </c>
      <c r="U203" s="19" t="s">
        <v>75</v>
      </c>
      <c r="V203" s="19" t="s">
        <v>101</v>
      </c>
      <c r="W203" s="19" t="s">
        <v>77</v>
      </c>
      <c r="X203" s="19"/>
      <c r="Y203" s="19"/>
      <c r="Z203" s="19" t="s">
        <v>1051</v>
      </c>
      <c r="AA203" s="19">
        <v>1</v>
      </c>
      <c r="AB203" s="19">
        <v>1</v>
      </c>
      <c r="AC203" s="19" t="s">
        <v>60</v>
      </c>
      <c r="AD203" s="19" t="s">
        <v>72</v>
      </c>
      <c r="AE203" s="19" t="s">
        <v>575</v>
      </c>
      <c r="AF203" s="19"/>
    </row>
    <row r="204" spans="1:34" customHeight="1" ht="42">
      <c r="A204" s="19">
        <v>196</v>
      </c>
      <c r="B204" s="19" t="s">
        <v>262</v>
      </c>
      <c r="C204" s="19" t="s">
        <v>164</v>
      </c>
      <c r="D204" s="19" t="str">
        <f>HYPERLINK("http://www.henontech.com/fieldsafety/harzard/harzard_show.php?rid=1712&amp;url=harzardrecs.php","焦三通廊入口旁有铁板，如果一名巡检工在巡检时不慎被铁板所拌，身体前倾，会造成脸部碰地擦伤，送医疗养四天后出院上班。")</f>
        <v>焦三通廊入口旁有铁板，如果一名巡检工在巡检时不慎被铁板所拌，身体前倾，会造成脸部碰地擦伤，送医疗养四天后出院上班。</v>
      </c>
      <c r="E204" s="19" t="s">
        <v>1052</v>
      </c>
      <c r="F204" s="20" t="s">
        <v>42</v>
      </c>
      <c r="G204" s="21" t="s">
        <v>43</v>
      </c>
      <c r="H204" s="19" t="s">
        <v>44</v>
      </c>
      <c r="I204" s="19" t="s">
        <v>83</v>
      </c>
      <c r="J204" s="19" t="s">
        <v>401</v>
      </c>
      <c r="K204" s="19" t="s">
        <v>69</v>
      </c>
      <c r="L204" s="19"/>
      <c r="M204" s="19" t="s">
        <v>94</v>
      </c>
      <c r="N204" s="19" t="s">
        <v>402</v>
      </c>
      <c r="O204" s="19" t="s">
        <v>117</v>
      </c>
      <c r="P204" s="19" t="s">
        <v>484</v>
      </c>
      <c r="Q204" s="19" t="s">
        <v>1053</v>
      </c>
      <c r="R204" s="19" t="s">
        <v>1054</v>
      </c>
      <c r="S204" s="19"/>
      <c r="T204" s="19" t="s">
        <v>54</v>
      </c>
      <c r="U204" s="19" t="s">
        <v>55</v>
      </c>
      <c r="V204" s="19" t="s">
        <v>56</v>
      </c>
      <c r="W204" s="19" t="s">
        <v>57</v>
      </c>
      <c r="X204" s="19" t="s">
        <v>235</v>
      </c>
      <c r="Y204" s="19" t="s">
        <v>235</v>
      </c>
      <c r="Z204" s="19" t="s">
        <v>1055</v>
      </c>
      <c r="AA204" s="19">
        <v>2</v>
      </c>
      <c r="AB204" s="19">
        <v>2</v>
      </c>
      <c r="AC204" s="19" t="s">
        <v>60</v>
      </c>
      <c r="AD204" s="19" t="s">
        <v>484</v>
      </c>
      <c r="AE204" s="19" t="s">
        <v>403</v>
      </c>
      <c r="AF204" s="19"/>
    </row>
    <row r="205" spans="1:34">
      <c r="A205" s="19">
        <v>197</v>
      </c>
      <c r="B205" s="19" t="s">
        <v>262</v>
      </c>
      <c r="C205" s="19" t="s">
        <v>520</v>
      </c>
      <c r="D205" s="19" t="str">
        <f>HYPERLINK("http://www.henontech.com/fieldsafety/harzard/harzard_show.php?rid=1713&amp;url=harzardrecs.php","打氧化剂泵子电机无接地线，接线套管未符合规定，操作人员在正常巡检设备运转情况时，因电机外壳漏电，操作人员在未带防护手套的情况下，导致右手手掌灼伤，右手手臂麻木无力，限工一天后复工")</f>
        <v>打氧化剂泵子电机无接地线，接线套管未符合规定，操作人员在正常巡检设备运转情况时，因电机外壳漏电，操作人员在未带防护手套的情况下，导致右手手掌灼伤，右手手臂麻木无力，限工一天后复工</v>
      </c>
      <c r="E205" s="19" t="s">
        <v>1056</v>
      </c>
      <c r="F205" s="20" t="s">
        <v>42</v>
      </c>
      <c r="G205" s="21" t="s">
        <v>43</v>
      </c>
      <c r="H205" s="19" t="s">
        <v>44</v>
      </c>
      <c r="I205" s="19" t="s">
        <v>388</v>
      </c>
      <c r="J205" s="19" t="s">
        <v>202</v>
      </c>
      <c r="K205" s="19" t="s">
        <v>69</v>
      </c>
      <c r="L205" s="19"/>
      <c r="M205" s="19" t="s">
        <v>49</v>
      </c>
      <c r="N205" s="19" t="s">
        <v>250</v>
      </c>
      <c r="O205" s="19" t="s">
        <v>49</v>
      </c>
      <c r="P205" s="19" t="s">
        <v>51</v>
      </c>
      <c r="Q205" s="19" t="s">
        <v>891</v>
      </c>
      <c r="R205" s="19" t="s">
        <v>730</v>
      </c>
      <c r="S205" s="19"/>
      <c r="T205" s="19" t="s">
        <v>54</v>
      </c>
      <c r="U205" s="19" t="s">
        <v>55</v>
      </c>
      <c r="V205" s="19" t="s">
        <v>101</v>
      </c>
      <c r="W205" s="19" t="s">
        <v>138</v>
      </c>
      <c r="X205" s="19" t="s">
        <v>58</v>
      </c>
      <c r="Y205" s="19" t="s">
        <v>58</v>
      </c>
      <c r="Z205" s="19" t="s">
        <v>1057</v>
      </c>
      <c r="AA205" s="19">
        <v>1</v>
      </c>
      <c r="AB205" s="19">
        <v>1</v>
      </c>
      <c r="AC205" s="19" t="s">
        <v>60</v>
      </c>
      <c r="AD205" s="19" t="s">
        <v>51</v>
      </c>
      <c r="AE205" s="19" t="s">
        <v>439</v>
      </c>
      <c r="AF205" s="19" t="s">
        <v>62</v>
      </c>
    </row>
    <row r="206" spans="1:34">
      <c r="A206" s="19">
        <v>198</v>
      </c>
      <c r="B206" s="19" t="s">
        <v>262</v>
      </c>
      <c r="C206" s="19" t="s">
        <v>1058</v>
      </c>
      <c r="D206" s="19" t="str">
        <f>HYPERLINK("http://www.henontech.com/fieldsafety/harzard/harzard_show.php?rid=1714&amp;url=harzardrecs.php","掺配站皮带电机护罩破损，操作人员进行掺配作业时，因用力过猛将手深入破损窟窿内，被电机叶轮打伤手部，致使右手食指和中指骨折，住院治疗一个月，在家休养三个员，造成一人损工事故")</f>
        <v>掺配站皮带电机护罩破损，操作人员进行掺配作业时，因用力过猛将手深入破损窟窿内，被电机叶轮打伤手部，致使右手食指和中指骨折，住院治疗一个月，在家休养三个员，造成一人损工事故</v>
      </c>
      <c r="E206" s="19" t="s">
        <v>1059</v>
      </c>
      <c r="F206" s="20" t="s">
        <v>42</v>
      </c>
      <c r="G206" s="21" t="s">
        <v>43</v>
      </c>
      <c r="H206" s="19" t="s">
        <v>44</v>
      </c>
      <c r="I206" s="19" t="s">
        <v>83</v>
      </c>
      <c r="J206" s="19" t="s">
        <v>68</v>
      </c>
      <c r="K206" s="19" t="s">
        <v>145</v>
      </c>
      <c r="L206" s="19"/>
      <c r="M206" s="19" t="s">
        <v>94</v>
      </c>
      <c r="N206" s="19" t="s">
        <v>135</v>
      </c>
      <c r="O206" s="19" t="s">
        <v>285</v>
      </c>
      <c r="P206" s="19" t="s">
        <v>975</v>
      </c>
      <c r="Q206" s="19" t="s">
        <v>455</v>
      </c>
      <c r="R206" s="19" t="s">
        <v>1060</v>
      </c>
      <c r="S206" s="19"/>
      <c r="T206" s="19" t="s">
        <v>54</v>
      </c>
      <c r="U206" s="19" t="s">
        <v>55</v>
      </c>
      <c r="V206" s="19" t="s">
        <v>56</v>
      </c>
      <c r="W206" s="19" t="s">
        <v>57</v>
      </c>
      <c r="X206" s="19"/>
      <c r="Y206" s="19"/>
      <c r="Z206" s="19" t="s">
        <v>1061</v>
      </c>
      <c r="AA206" s="19">
        <v>1</v>
      </c>
      <c r="AB206" s="19">
        <v>1</v>
      </c>
      <c r="AC206" s="19" t="s">
        <v>60</v>
      </c>
      <c r="AD206" s="19" t="s">
        <v>975</v>
      </c>
      <c r="AE206" s="19" t="s">
        <v>403</v>
      </c>
      <c r="AF206" s="19" t="s">
        <v>1062</v>
      </c>
    </row>
    <row r="207" spans="1:34">
      <c r="A207" s="19">
        <v>199</v>
      </c>
      <c r="B207" s="19" t="s">
        <v>262</v>
      </c>
      <c r="C207" s="19" t="s">
        <v>1063</v>
      </c>
      <c r="D207" s="19" t="str">
        <f>HYPERLINK("http://www.henontech.com/fieldsafety/harzard/harzard_show.php?rid=1718&amp;url=harzardrecs.php","操作人员在巡检中被高压氨水泵降温的轴流风扇触电，被岗位人员及时发现，迅速切断电源使伤者尽快脱离电源，操作人员在未带防护情况下手臂被击伤，住院治疗，损工一个月。")</f>
        <v>操作人员在巡检中被高压氨水泵降温的轴流风扇触电，被岗位人员及时发现，迅速切断电源使伤者尽快脱离电源，操作人员在未带防护情况下手臂被击伤，住院治疗，损工一个月。</v>
      </c>
      <c r="E207" s="19" t="s">
        <v>1064</v>
      </c>
      <c r="F207" s="24" t="s">
        <v>387</v>
      </c>
      <c r="G207" s="21" t="s">
        <v>43</v>
      </c>
      <c r="H207" s="19" t="s">
        <v>44</v>
      </c>
      <c r="I207" s="19" t="s">
        <v>45</v>
      </c>
      <c r="J207" s="19" t="s">
        <v>202</v>
      </c>
      <c r="K207" s="19" t="s">
        <v>145</v>
      </c>
      <c r="L207" s="19"/>
      <c r="M207" s="19" t="s">
        <v>70</v>
      </c>
      <c r="N207" s="19" t="s">
        <v>1065</v>
      </c>
      <c r="O207" s="19"/>
      <c r="P207" s="19"/>
      <c r="Q207" s="19"/>
      <c r="R207" s="19" t="s">
        <v>1066</v>
      </c>
      <c r="S207" s="19" t="s">
        <v>1067</v>
      </c>
      <c r="T207" s="19" t="s">
        <v>54</v>
      </c>
      <c r="U207" s="19" t="s">
        <v>75</v>
      </c>
      <c r="V207" s="19" t="s">
        <v>101</v>
      </c>
      <c r="W207" s="19" t="s">
        <v>77</v>
      </c>
      <c r="X207" s="19"/>
      <c r="Y207" s="19"/>
      <c r="Z207" s="19"/>
      <c r="AA207" s="19">
        <v>0</v>
      </c>
      <c r="AB207" s="19"/>
      <c r="AC207" s="19" t="s">
        <v>392</v>
      </c>
      <c r="AD207" s="19"/>
      <c r="AE207" s="19"/>
      <c r="AF207" s="19"/>
    </row>
    <row r="208" spans="1:34" customHeight="1" ht="42">
      <c r="A208" s="19">
        <v>200</v>
      </c>
      <c r="B208" s="19" t="s">
        <v>1068</v>
      </c>
      <c r="C208" s="19" t="s">
        <v>117</v>
      </c>
      <c r="D208" s="19" t="str">
        <f>HYPERLINK("http://www.henontech.com/fieldsafety/harzard/harzard_show.php?rid=2536&amp;url=harzardrecs.php","送煤掉前头，拦焦一名操作人员在扒煤过程中，被高处再次跌落的煤饼砸中头部，送医抢救无效死亡。")</f>
        <v>送煤掉前头，拦焦一名操作人员在扒煤过程中，被高处再次跌落的煤饼砸中头部，送医抢救无效死亡。</v>
      </c>
      <c r="E208" s="19" t="s">
        <v>1069</v>
      </c>
      <c r="F208" s="20" t="s">
        <v>42</v>
      </c>
      <c r="G208" s="21" t="s">
        <v>43</v>
      </c>
      <c r="H208" s="19" t="s">
        <v>44</v>
      </c>
      <c r="I208" s="19" t="s">
        <v>83</v>
      </c>
      <c r="J208" s="19" t="s">
        <v>334</v>
      </c>
      <c r="K208" s="19" t="s">
        <v>69</v>
      </c>
      <c r="L208" s="19" t="s">
        <v>573</v>
      </c>
      <c r="M208" s="19" t="s">
        <v>117</v>
      </c>
      <c r="N208" s="19" t="s">
        <v>1070</v>
      </c>
      <c r="O208" s="19" t="s">
        <v>117</v>
      </c>
      <c r="P208" s="19" t="s">
        <v>602</v>
      </c>
      <c r="Q208" s="19" t="s">
        <v>1071</v>
      </c>
      <c r="R208" s="19" t="s">
        <v>1072</v>
      </c>
      <c r="S208" s="19"/>
      <c r="T208" s="19" t="s">
        <v>54</v>
      </c>
      <c r="U208" s="19" t="s">
        <v>121</v>
      </c>
      <c r="V208" s="19" t="s">
        <v>101</v>
      </c>
      <c r="W208" s="19" t="s">
        <v>57</v>
      </c>
      <c r="X208" s="19" t="s">
        <v>123</v>
      </c>
      <c r="Y208" s="19"/>
      <c r="Z208" s="19" t="s">
        <v>1073</v>
      </c>
      <c r="AA208" s="19">
        <v>2</v>
      </c>
      <c r="AB208" s="19">
        <v>2</v>
      </c>
      <c r="AC208" s="19" t="s">
        <v>60</v>
      </c>
      <c r="AD208" s="19" t="s">
        <v>602</v>
      </c>
      <c r="AE208" s="19" t="s">
        <v>1074</v>
      </c>
      <c r="AF208" s="19"/>
    </row>
    <row r="209" spans="1:34" customHeight="1" ht="42">
      <c r="A209" s="19">
        <v>201</v>
      </c>
      <c r="B209" s="19" t="s">
        <v>1075</v>
      </c>
      <c r="C209" s="19" t="s">
        <v>117</v>
      </c>
      <c r="D209" s="19" t="str">
        <f>HYPERLINK("http://www.henontech.com/fieldsafety/harzard/harzard_show.php?rid=2670&amp;url=harzardrecs.php","5.5米熄焦池附近材钢瓦混乱，夜班人员经过视线不好万一绊倒手部着地造成人员手部骨折，住院治疗半月，回家修养二月的埙工事件。")</f>
        <v>5.5米熄焦池附近材钢瓦混乱，夜班人员经过视线不好万一绊倒手部着地造成人员手部骨折，住院治疗半月，回家修养二月的埙工事件。</v>
      </c>
      <c r="E209" s="19" t="s">
        <v>1076</v>
      </c>
      <c r="F209" s="20" t="s">
        <v>42</v>
      </c>
      <c r="G209" s="21" t="s">
        <v>43</v>
      </c>
      <c r="H209" s="19" t="s">
        <v>44</v>
      </c>
      <c r="I209" s="19" t="s">
        <v>67</v>
      </c>
      <c r="J209" s="19" t="s">
        <v>46</v>
      </c>
      <c r="K209" s="19" t="s">
        <v>47</v>
      </c>
      <c r="L209" s="19" t="s">
        <v>48</v>
      </c>
      <c r="M209" s="19" t="s">
        <v>117</v>
      </c>
      <c r="N209" s="19" t="s">
        <v>1077</v>
      </c>
      <c r="O209" s="19" t="s">
        <v>117</v>
      </c>
      <c r="P209" s="19" t="s">
        <v>636</v>
      </c>
      <c r="Q209" s="19" t="s">
        <v>1071</v>
      </c>
      <c r="R209" s="19" t="s">
        <v>1078</v>
      </c>
      <c r="S209" s="19"/>
      <c r="T209" s="19" t="s">
        <v>54</v>
      </c>
      <c r="U209" s="19" t="s">
        <v>55</v>
      </c>
      <c r="V209" s="19" t="s">
        <v>56</v>
      </c>
      <c r="W209" s="19" t="s">
        <v>57</v>
      </c>
      <c r="X209" s="19" t="s">
        <v>123</v>
      </c>
      <c r="Y209" s="19"/>
      <c r="Z209" s="19" t="s">
        <v>1079</v>
      </c>
      <c r="AA209" s="19">
        <v>2</v>
      </c>
      <c r="AB209" s="19">
        <v>1</v>
      </c>
      <c r="AC209" s="19" t="s">
        <v>60</v>
      </c>
      <c r="AD209" s="19" t="s">
        <v>636</v>
      </c>
      <c r="AE209" s="19" t="s">
        <v>1080</v>
      </c>
      <c r="AF209" s="19" t="s">
        <v>1081</v>
      </c>
    </row>
    <row r="210" spans="1:34" customHeight="1" ht="42">
      <c r="A210" s="19">
        <v>202</v>
      </c>
      <c r="B210" s="19" t="s">
        <v>1082</v>
      </c>
      <c r="C210" s="19" t="s">
        <v>590</v>
      </c>
      <c r="D210" s="19" t="str">
        <f>HYPERLINK("http://www.henontech.com/fieldsafety/harzard/harzard_show.php?rid=2675&amp;url=harzardrecs.php","炉顶南端水管未整理")</f>
        <v>炉顶南端水管未整理</v>
      </c>
      <c r="E210" s="19" t="s">
        <v>1083</v>
      </c>
      <c r="F210" s="20" t="s">
        <v>42</v>
      </c>
      <c r="G210" s="21" t="s">
        <v>43</v>
      </c>
      <c r="H210" s="19" t="s">
        <v>44</v>
      </c>
      <c r="I210" s="19" t="s">
        <v>67</v>
      </c>
      <c r="J210" s="19" t="s">
        <v>334</v>
      </c>
      <c r="K210" s="19" t="s">
        <v>47</v>
      </c>
      <c r="L210" s="19" t="s">
        <v>48</v>
      </c>
      <c r="M210" s="19" t="s">
        <v>117</v>
      </c>
      <c r="N210" s="19" t="s">
        <v>1084</v>
      </c>
      <c r="O210" s="19" t="s">
        <v>285</v>
      </c>
      <c r="P210" s="19" t="s">
        <v>287</v>
      </c>
      <c r="Q210" s="19" t="s">
        <v>1085</v>
      </c>
      <c r="R210" s="19" t="s">
        <v>1086</v>
      </c>
      <c r="S210" s="19"/>
      <c r="T210" s="19" t="s">
        <v>54</v>
      </c>
      <c r="U210" s="19" t="s">
        <v>121</v>
      </c>
      <c r="V210" s="19" t="s">
        <v>56</v>
      </c>
      <c r="W210" s="19" t="s">
        <v>122</v>
      </c>
      <c r="X210" s="19" t="s">
        <v>123</v>
      </c>
      <c r="Y210" s="19"/>
      <c r="Z210" s="19" t="s">
        <v>1087</v>
      </c>
      <c r="AA210" s="19">
        <v>2</v>
      </c>
      <c r="AB210" s="19">
        <v>2</v>
      </c>
      <c r="AC210" s="19" t="s">
        <v>60</v>
      </c>
      <c r="AD210" s="19" t="s">
        <v>287</v>
      </c>
      <c r="AE210" s="19" t="s">
        <v>1088</v>
      </c>
      <c r="AF210" s="19"/>
    </row>
    <row r="211" spans="1:34" customHeight="1" ht="63">
      <c r="A211" s="19">
        <v>203</v>
      </c>
      <c r="B211" s="19" t="s">
        <v>1089</v>
      </c>
      <c r="C211" s="19" t="s">
        <v>1090</v>
      </c>
      <c r="D211" s="19" t="str">
        <f>HYPERLINK("http://www.henontech.com/fieldsafety/harzard/harzard_show.php?rid=2755&amp;url=harzardrecs.php","南化产2#脱硫塔中上部约25米处爬梯腐蚀严重，平台变薄破裂，立柱根部开裂，岗位人员虚巡检时，一旦护栏断裂，从25米的高处坠落，造成1人死亡事故。")</f>
        <v>南化产2#脱硫塔中上部约25米处爬梯腐蚀严重，平台变薄破裂，立柱根部开裂，岗位人员虚巡检时，一旦护栏断裂，从25米的高处坠落，造成1人死亡事故。</v>
      </c>
      <c r="E211" s="19" t="s">
        <v>1091</v>
      </c>
      <c r="F211" s="20" t="s">
        <v>42</v>
      </c>
      <c r="G211" s="22" t="s">
        <v>66</v>
      </c>
      <c r="H211" s="19" t="s">
        <v>44</v>
      </c>
      <c r="I211" s="19" t="s">
        <v>67</v>
      </c>
      <c r="J211" s="19" t="s">
        <v>68</v>
      </c>
      <c r="K211" s="19" t="s">
        <v>47</v>
      </c>
      <c r="L211" s="19" t="s">
        <v>48</v>
      </c>
      <c r="M211" s="19" t="s">
        <v>94</v>
      </c>
      <c r="N211" s="19" t="s">
        <v>1092</v>
      </c>
      <c r="O211" s="19" t="s">
        <v>70</v>
      </c>
      <c r="P211" s="19" t="s">
        <v>72</v>
      </c>
      <c r="Q211" s="19" t="s">
        <v>1093</v>
      </c>
      <c r="R211" s="19" t="s">
        <v>1094</v>
      </c>
      <c r="S211" s="19"/>
      <c r="T211" s="19" t="s">
        <v>54</v>
      </c>
      <c r="U211" s="19" t="s">
        <v>121</v>
      </c>
      <c r="V211" s="19" t="s">
        <v>101</v>
      </c>
      <c r="W211" s="19" t="s">
        <v>57</v>
      </c>
      <c r="X211" s="19"/>
      <c r="Y211" s="19"/>
      <c r="Z211" s="19" t="s">
        <v>1095</v>
      </c>
      <c r="AA211" s="19">
        <v>3</v>
      </c>
      <c r="AB211" s="19">
        <v>3</v>
      </c>
      <c r="AC211" s="19" t="s">
        <v>60</v>
      </c>
      <c r="AD211" s="19" t="s">
        <v>72</v>
      </c>
      <c r="AE211" s="19" t="s">
        <v>1074</v>
      </c>
      <c r="AF211" s="19"/>
    </row>
    <row r="212" spans="1:34" customHeight="1" ht="42">
      <c r="A212" s="19">
        <v>204</v>
      </c>
      <c r="B212" s="19" t="s">
        <v>1085</v>
      </c>
      <c r="C212" s="19" t="s">
        <v>195</v>
      </c>
      <c r="D212" s="19" t="str">
        <f>HYPERLINK("http://www.henontech.com/fieldsafety/harzard/harzard_show.php?rid=2816&amp;url=harzardrecs.php","操作工在放炉门准备清理过程中，炉门突然跌落，砸伤1人，送医抢救无效死亡。")</f>
        <v>操作工在放炉门准备清理过程中，炉门突然跌落，砸伤1人，送医抢救无效死亡。</v>
      </c>
      <c r="E212" s="19" t="s">
        <v>1096</v>
      </c>
      <c r="F212" s="20" t="s">
        <v>42</v>
      </c>
      <c r="G212" s="22" t="s">
        <v>66</v>
      </c>
      <c r="H212" s="19" t="s">
        <v>44</v>
      </c>
      <c r="I212" s="19" t="s">
        <v>45</v>
      </c>
      <c r="J212" s="19" t="s">
        <v>46</v>
      </c>
      <c r="K212" s="19" t="s">
        <v>69</v>
      </c>
      <c r="L212" s="19" t="s">
        <v>48</v>
      </c>
      <c r="M212" s="19" t="s">
        <v>117</v>
      </c>
      <c r="N212" s="19" t="s">
        <v>1097</v>
      </c>
      <c r="O212" s="19" t="s">
        <v>117</v>
      </c>
      <c r="P212" s="19" t="s">
        <v>602</v>
      </c>
      <c r="Q212" s="19" t="s">
        <v>1098</v>
      </c>
      <c r="R212" s="19" t="s">
        <v>1099</v>
      </c>
      <c r="S212" s="19"/>
      <c r="T212" s="19" t="s">
        <v>54</v>
      </c>
      <c r="U212" s="19" t="s">
        <v>121</v>
      </c>
      <c r="V212" s="19" t="s">
        <v>56</v>
      </c>
      <c r="W212" s="19" t="s">
        <v>122</v>
      </c>
      <c r="X212" s="19" t="s">
        <v>123</v>
      </c>
      <c r="Y212" s="19"/>
      <c r="Z212" s="19" t="s">
        <v>1100</v>
      </c>
      <c r="AA212" s="19">
        <v>2</v>
      </c>
      <c r="AB212" s="19">
        <v>2</v>
      </c>
      <c r="AC212" s="19" t="s">
        <v>60</v>
      </c>
      <c r="AD212" s="19" t="s">
        <v>602</v>
      </c>
      <c r="AE212" s="19" t="s">
        <v>1074</v>
      </c>
      <c r="AF212" s="19"/>
    </row>
    <row r="213" spans="1:34" customHeight="1" ht="42">
      <c r="A213" s="19">
        <v>205</v>
      </c>
      <c r="B213" s="19" t="s">
        <v>1101</v>
      </c>
      <c r="C213" s="19" t="s">
        <v>195</v>
      </c>
      <c r="D213" s="19" t="str">
        <f>HYPERLINK("http://www.henontech.com/fieldsafety/harzard/harzard_show.php?rid=2998&amp;url=harzardrecs.php","15#炉门衡栓不到位，炉门意外掉落，砸伤一名在此干活的员工，随即送医抢救无效死亡")</f>
        <v>15#炉门衡栓不到位，炉门意外掉落，砸伤一名在此干活的员工，随即送医抢救无效死亡</v>
      </c>
      <c r="E213" s="19" t="s">
        <v>1096</v>
      </c>
      <c r="F213" s="20" t="s">
        <v>42</v>
      </c>
      <c r="G213" s="23" t="s">
        <v>231</v>
      </c>
      <c r="H213" s="19" t="s">
        <v>44</v>
      </c>
      <c r="I213" s="19" t="s">
        <v>67</v>
      </c>
      <c r="J213" s="19" t="s">
        <v>46</v>
      </c>
      <c r="K213" s="19" t="s">
        <v>69</v>
      </c>
      <c r="L213" s="19" t="s">
        <v>48</v>
      </c>
      <c r="M213" s="19" t="s">
        <v>117</v>
      </c>
      <c r="N213" s="19" t="s">
        <v>1102</v>
      </c>
      <c r="O213" s="19" t="s">
        <v>117</v>
      </c>
      <c r="P213" s="19" t="s">
        <v>602</v>
      </c>
      <c r="Q213" s="19" t="s">
        <v>1103</v>
      </c>
      <c r="R213" s="19" t="s">
        <v>1104</v>
      </c>
      <c r="S213" s="19"/>
      <c r="T213" s="19" t="s">
        <v>54</v>
      </c>
      <c r="U213" s="19" t="s">
        <v>121</v>
      </c>
      <c r="V213" s="19" t="s">
        <v>56</v>
      </c>
      <c r="W213" s="19" t="s">
        <v>122</v>
      </c>
      <c r="X213" s="19" t="s">
        <v>123</v>
      </c>
      <c r="Y213" s="19"/>
      <c r="Z213" s="19" t="s">
        <v>1105</v>
      </c>
      <c r="AA213" s="19">
        <v>2</v>
      </c>
      <c r="AB213" s="19">
        <v>2</v>
      </c>
      <c r="AC213" s="19" t="s">
        <v>60</v>
      </c>
      <c r="AD213" s="19" t="s">
        <v>602</v>
      </c>
      <c r="AE213" s="19" t="s">
        <v>1074</v>
      </c>
      <c r="AF213" s="19"/>
    </row>
    <row r="214" spans="1:34">
      <c r="A214" s="19">
        <v>206</v>
      </c>
      <c r="B214" s="19" t="s">
        <v>1098</v>
      </c>
      <c r="C214" s="19" t="s">
        <v>1007</v>
      </c>
      <c r="D214" s="19" t="str">
        <f>HYPERLINK("http://www.henontech.com/fieldsafety/harzard/harzard_show.php?rid=3017&amp;url=harzardrecs.php","南凉水架平顶紧固螺栓腐蚀脱落，假如一名操作工巡检到此处时，不小心绊倒，左胳膊擦伤，到医务室简单处理，无损工，正常上班。")</f>
        <v>南凉水架平顶紧固螺栓腐蚀脱落，假如一名操作工巡检到此处时，不小心绊倒，左胳膊擦伤，到医务室简单处理，无损工，正常上班。</v>
      </c>
      <c r="E214" s="19" t="s">
        <v>1106</v>
      </c>
      <c r="F214" s="20" t="s">
        <v>42</v>
      </c>
      <c r="G214" s="21" t="s">
        <v>43</v>
      </c>
      <c r="H214" s="19" t="s">
        <v>44</v>
      </c>
      <c r="I214" s="19" t="s">
        <v>67</v>
      </c>
      <c r="J214" s="19" t="s">
        <v>46</v>
      </c>
      <c r="K214" s="19"/>
      <c r="L214" s="19" t="s">
        <v>48</v>
      </c>
      <c r="M214" s="19" t="s">
        <v>70</v>
      </c>
      <c r="N214" s="19" t="s">
        <v>1009</v>
      </c>
      <c r="O214" s="19" t="s">
        <v>70</v>
      </c>
      <c r="P214" s="19" t="s">
        <v>72</v>
      </c>
      <c r="Q214" s="19" t="s">
        <v>1107</v>
      </c>
      <c r="R214" s="19" t="s">
        <v>1108</v>
      </c>
      <c r="S214" s="19"/>
      <c r="T214" s="19" t="s">
        <v>54</v>
      </c>
      <c r="U214" s="19" t="s">
        <v>75</v>
      </c>
      <c r="V214" s="19" t="s">
        <v>101</v>
      </c>
      <c r="W214" s="19" t="s">
        <v>77</v>
      </c>
      <c r="X214" s="19"/>
      <c r="Y214" s="19"/>
      <c r="Z214" s="19" t="s">
        <v>1109</v>
      </c>
      <c r="AA214" s="19">
        <v>1</v>
      </c>
      <c r="AB214" s="19">
        <v>1</v>
      </c>
      <c r="AC214" s="19" t="s">
        <v>60</v>
      </c>
      <c r="AD214" s="19" t="s">
        <v>72</v>
      </c>
      <c r="AE214" s="19" t="s">
        <v>1074</v>
      </c>
      <c r="AF214" s="19"/>
    </row>
    <row r="215" spans="1:34">
      <c r="A215" s="19">
        <v>207</v>
      </c>
      <c r="B215" s="19" t="s">
        <v>1110</v>
      </c>
      <c r="C215" s="19" t="s">
        <v>1111</v>
      </c>
      <c r="D215" s="19" t="str">
        <f>HYPERLINK("http://www.henontech.com/fieldsafety/harzard/harzard_show.php?rid=3040&amp;url=harzardrecs.php","西硫铵四楼西后窗户因长年使用，窗户内挂件被腐蚀坏，如果大风天气一名操作工在四楼屋内擦拭玻璃时，人员可能会被大风刮落的窗户勾住衣服，造成人员跟窗户一并坠落，事故造成一人死亡")</f>
        <v>西硫铵四楼西后窗户因长年使用，窗户内挂件被腐蚀坏，如果大风天气一名操作工在四楼屋内擦拭玻璃时，人员可能会被大风刮落的窗户勾住衣服，造成人员跟窗户一并坠落，事故造成一人死亡</v>
      </c>
      <c r="E215" s="19" t="s">
        <v>1112</v>
      </c>
      <c r="F215" s="20" t="s">
        <v>42</v>
      </c>
      <c r="G215" s="21" t="s">
        <v>43</v>
      </c>
      <c r="H215" s="19" t="s">
        <v>44</v>
      </c>
      <c r="I215" s="19" t="s">
        <v>67</v>
      </c>
      <c r="J215" s="19" t="s">
        <v>46</v>
      </c>
      <c r="K215" s="19" t="s">
        <v>209</v>
      </c>
      <c r="L215" s="19" t="s">
        <v>48</v>
      </c>
      <c r="M215" s="19" t="s">
        <v>70</v>
      </c>
      <c r="N215" s="19" t="s">
        <v>468</v>
      </c>
      <c r="O215" s="19" t="s">
        <v>70</v>
      </c>
      <c r="P215" s="19" t="s">
        <v>72</v>
      </c>
      <c r="Q215" s="19" t="s">
        <v>1113</v>
      </c>
      <c r="R215" s="19" t="s">
        <v>1114</v>
      </c>
      <c r="S215" s="19"/>
      <c r="T215" s="19" t="s">
        <v>54</v>
      </c>
      <c r="U215" s="19" t="s">
        <v>121</v>
      </c>
      <c r="V215" s="19" t="s">
        <v>271</v>
      </c>
      <c r="W215" s="19" t="s">
        <v>122</v>
      </c>
      <c r="X215" s="19"/>
      <c r="Y215" s="19"/>
      <c r="Z215" s="19" t="s">
        <v>1115</v>
      </c>
      <c r="AA215" s="19">
        <v>1</v>
      </c>
      <c r="AB215" s="19">
        <v>1</v>
      </c>
      <c r="AC215" s="19" t="s">
        <v>60</v>
      </c>
      <c r="AD215" s="19" t="s">
        <v>72</v>
      </c>
      <c r="AE215" s="19" t="s">
        <v>1116</v>
      </c>
      <c r="AF215" s="19"/>
    </row>
    <row r="216" spans="1:34">
      <c r="A216" s="19">
        <v>208</v>
      </c>
      <c r="B216" s="19" t="s">
        <v>1117</v>
      </c>
      <c r="C216" s="19" t="s">
        <v>1118</v>
      </c>
      <c r="D216" s="19" t="str">
        <f>HYPERLINK("http://www.henontech.com/fieldsafety/harzard/harzard_show.php?rid=3072&amp;url=harzardrecs.php","循环风机降温风扇电缆接头未安装防护套管，巡检人员清理降温风扇积灰时，手臂碰到电缆接头造成人员触电，经抢救无效死亡。")</f>
        <v>循环风机降温风扇电缆接头未安装防护套管，巡检人员清理降温风扇积灰时，手臂碰到电缆接头造成人员触电，经抢救无效死亡。</v>
      </c>
      <c r="E216" s="19" t="s">
        <v>512</v>
      </c>
      <c r="F216" s="20" t="s">
        <v>42</v>
      </c>
      <c r="G216" s="21" t="s">
        <v>43</v>
      </c>
      <c r="H216" s="19" t="s">
        <v>44</v>
      </c>
      <c r="I216" s="19" t="s">
        <v>45</v>
      </c>
      <c r="J216" s="19" t="s">
        <v>68</v>
      </c>
      <c r="K216" s="19" t="s">
        <v>47</v>
      </c>
      <c r="L216" s="19" t="s">
        <v>48</v>
      </c>
      <c r="M216" s="19" t="s">
        <v>117</v>
      </c>
      <c r="N216" s="19" t="s">
        <v>691</v>
      </c>
      <c r="O216" s="19" t="s">
        <v>117</v>
      </c>
      <c r="P216" s="19" t="s">
        <v>876</v>
      </c>
      <c r="Q216" s="19" t="s">
        <v>1119</v>
      </c>
      <c r="R216" s="19" t="s">
        <v>1120</v>
      </c>
      <c r="S216" s="19" t="s">
        <v>1121</v>
      </c>
      <c r="T216" s="19" t="s">
        <v>54</v>
      </c>
      <c r="U216" s="19" t="s">
        <v>121</v>
      </c>
      <c r="V216" s="19" t="s">
        <v>101</v>
      </c>
      <c r="W216" s="19" t="s">
        <v>57</v>
      </c>
      <c r="X216" s="19" t="s">
        <v>58</v>
      </c>
      <c r="Y216" s="19"/>
      <c r="Z216" s="19" t="s">
        <v>1122</v>
      </c>
      <c r="AA216" s="19">
        <v>1</v>
      </c>
      <c r="AB216" s="19">
        <v>1</v>
      </c>
      <c r="AC216" s="19" t="s">
        <v>60</v>
      </c>
      <c r="AD216" s="19" t="s">
        <v>876</v>
      </c>
      <c r="AE216" s="19" t="s">
        <v>1123</v>
      </c>
      <c r="AF216" s="19" t="s">
        <v>1124</v>
      </c>
    </row>
    <row r="217" spans="1:34">
      <c r="A217" s="19">
        <v>209</v>
      </c>
      <c r="B217" s="19" t="s">
        <v>1125</v>
      </c>
      <c r="C217" s="19" t="s">
        <v>879</v>
      </c>
      <c r="D217" s="19" t="str">
        <f>HYPERLINK("http://www.henontech.com/fieldsafety/harzard/harzard_show.php?rid=3080&amp;url=harzardrecs.php","主控楼楼顶门杆漏汽管道支撑架脱出，长时间运行管道蠕变、造成管道破裂。一操作工巡检至此处时被蒸汽烫伤左小腿，送医治疗。")</f>
        <v>主控楼楼顶门杆漏汽管道支撑架脱出，长时间运行管道蠕变、造成管道破裂。一操作工巡检至此处时被蒸汽烫伤左小腿，送医治疗。</v>
      </c>
      <c r="E217" s="19" t="s">
        <v>1126</v>
      </c>
      <c r="F217" s="20" t="s">
        <v>42</v>
      </c>
      <c r="G217" s="21" t="s">
        <v>43</v>
      </c>
      <c r="H217" s="19" t="s">
        <v>44</v>
      </c>
      <c r="I217" s="19" t="s">
        <v>45</v>
      </c>
      <c r="J217" s="19" t="s">
        <v>46</v>
      </c>
      <c r="K217" s="19"/>
      <c r="L217" s="19"/>
      <c r="M217" s="19" t="s">
        <v>117</v>
      </c>
      <c r="N217" s="19" t="s">
        <v>1127</v>
      </c>
      <c r="O217" s="19" t="s">
        <v>117</v>
      </c>
      <c r="P217" s="19" t="s">
        <v>224</v>
      </c>
      <c r="Q217" s="19" t="s">
        <v>1128</v>
      </c>
      <c r="R217" s="19" t="s">
        <v>1129</v>
      </c>
      <c r="S217" s="19" t="s">
        <v>1130</v>
      </c>
      <c r="T217" s="19" t="s">
        <v>54</v>
      </c>
      <c r="U217" s="19" t="s">
        <v>55</v>
      </c>
      <c r="V217" s="19" t="s">
        <v>56</v>
      </c>
      <c r="W217" s="19" t="s">
        <v>57</v>
      </c>
      <c r="X217" s="19" t="s">
        <v>58</v>
      </c>
      <c r="Y217" s="19"/>
      <c r="Z217" s="19" t="s">
        <v>1131</v>
      </c>
      <c r="AA217" s="19">
        <v>1</v>
      </c>
      <c r="AB217" s="19">
        <v>1</v>
      </c>
      <c r="AC217" s="19" t="s">
        <v>60</v>
      </c>
      <c r="AD217" s="19" t="s">
        <v>224</v>
      </c>
      <c r="AE217" s="19" t="s">
        <v>1132</v>
      </c>
      <c r="AF217" s="19"/>
    </row>
    <row r="218" spans="1:34">
      <c r="A218" s="19">
        <v>210</v>
      </c>
      <c r="B218" s="19" t="s">
        <v>1125</v>
      </c>
      <c r="C218" s="19" t="s">
        <v>1133</v>
      </c>
      <c r="D218" s="19" t="str">
        <f>HYPERLINK("http://www.henontech.com/fieldsafety/harzard/harzard_show.php?rid=3084&amp;url=harzardrecs.php","中间水池液位计电缆未固定悬空，一员工巡检至中间水池不慎被电缆绊倒，导致膝盖及手臂皮肤破损，送医治疗无损工")</f>
        <v>中间水池液位计电缆未固定悬空，一员工巡检至中间水池不慎被电缆绊倒，导致膝盖及手臂皮肤破损，送医治疗无损工</v>
      </c>
      <c r="E218" s="19" t="s">
        <v>1134</v>
      </c>
      <c r="F218" s="20" t="s">
        <v>42</v>
      </c>
      <c r="G218" s="21" t="s">
        <v>43</v>
      </c>
      <c r="H218" s="19" t="s">
        <v>44</v>
      </c>
      <c r="I218" s="19" t="s">
        <v>67</v>
      </c>
      <c r="J218" s="19" t="s">
        <v>401</v>
      </c>
      <c r="K218" s="19" t="s">
        <v>69</v>
      </c>
      <c r="L218" s="19" t="s">
        <v>48</v>
      </c>
      <c r="M218" s="19" t="s">
        <v>117</v>
      </c>
      <c r="N218" s="19" t="s">
        <v>1135</v>
      </c>
      <c r="O218" s="19" t="s">
        <v>117</v>
      </c>
      <c r="P218" s="19" t="s">
        <v>876</v>
      </c>
      <c r="Q218" s="19" t="s">
        <v>1128</v>
      </c>
      <c r="R218" s="19" t="s">
        <v>1136</v>
      </c>
      <c r="S218" s="19" t="s">
        <v>1137</v>
      </c>
      <c r="T218" s="19" t="s">
        <v>54</v>
      </c>
      <c r="U218" s="19" t="s">
        <v>192</v>
      </c>
      <c r="V218" s="19" t="s">
        <v>56</v>
      </c>
      <c r="W218" s="19" t="s">
        <v>77</v>
      </c>
      <c r="X218" s="19" t="s">
        <v>58</v>
      </c>
      <c r="Y218" s="19"/>
      <c r="Z218" s="19" t="s">
        <v>1138</v>
      </c>
      <c r="AA218" s="19">
        <v>1</v>
      </c>
      <c r="AB218" s="19">
        <v>1</v>
      </c>
      <c r="AC218" s="19" t="s">
        <v>60</v>
      </c>
      <c r="AD218" s="19" t="s">
        <v>876</v>
      </c>
      <c r="AE218" s="19" t="s">
        <v>1139</v>
      </c>
      <c r="AF218" s="19" t="s">
        <v>1140</v>
      </c>
    </row>
    <row r="219" spans="1:34">
      <c r="A219" s="19">
        <v>211</v>
      </c>
      <c r="B219" s="19" t="s">
        <v>1141</v>
      </c>
      <c r="C219" s="19" t="s">
        <v>669</v>
      </c>
      <c r="D219" s="19" t="str">
        <f>HYPERLINK("http://www.henontech.com/fieldsafety/harzard/harzard_show.php?rid=3111&amp;url=harzardrecs.php","北化产综合供水配电室配电盘后电缆沟盖板缺失，当一名电工巡检时，不慎左腿掉入电缆沟，造成左腿脚踝扭伤，去医务室上药包扎后回家休养7天，恢复后复工，损工七天。")</f>
        <v>北化产综合供水配电室配电盘后电缆沟盖板缺失，当一名电工巡检时，不慎左腿掉入电缆沟，造成左腿脚踝扭伤，去医务室上药包扎后回家休养7天，恢复后复工，损工七天。</v>
      </c>
      <c r="E219" s="19" t="s">
        <v>1142</v>
      </c>
      <c r="F219" s="20" t="s">
        <v>42</v>
      </c>
      <c r="G219" s="21" t="s">
        <v>43</v>
      </c>
      <c r="H219" s="19" t="s">
        <v>44</v>
      </c>
      <c r="I219" s="19" t="s">
        <v>45</v>
      </c>
      <c r="J219" s="19" t="s">
        <v>46</v>
      </c>
      <c r="K219" s="19" t="s">
        <v>145</v>
      </c>
      <c r="L219" s="19" t="s">
        <v>48</v>
      </c>
      <c r="M219" s="19" t="s">
        <v>70</v>
      </c>
      <c r="N219" s="19" t="s">
        <v>1143</v>
      </c>
      <c r="O219" s="19" t="s">
        <v>70</v>
      </c>
      <c r="P219" s="19" t="s">
        <v>72</v>
      </c>
      <c r="Q219" s="19" t="s">
        <v>1144</v>
      </c>
      <c r="R219" s="19" t="s">
        <v>1145</v>
      </c>
      <c r="S219" s="19"/>
      <c r="T219" s="19" t="s">
        <v>54</v>
      </c>
      <c r="U219" s="19" t="s">
        <v>55</v>
      </c>
      <c r="V219" s="19" t="s">
        <v>56</v>
      </c>
      <c r="W219" s="19" t="s">
        <v>57</v>
      </c>
      <c r="X219" s="19"/>
      <c r="Y219" s="19"/>
      <c r="Z219" s="19" t="s">
        <v>1146</v>
      </c>
      <c r="AA219" s="19">
        <v>1</v>
      </c>
      <c r="AB219" s="19">
        <v>1</v>
      </c>
      <c r="AC219" s="19" t="s">
        <v>60</v>
      </c>
      <c r="AD219" s="19" t="s">
        <v>72</v>
      </c>
      <c r="AE219" s="19" t="s">
        <v>1074</v>
      </c>
      <c r="AF219" s="19"/>
    </row>
    <row r="220" spans="1:34">
      <c r="A220" s="19">
        <v>212</v>
      </c>
      <c r="B220" s="19" t="s">
        <v>1147</v>
      </c>
      <c r="C220" s="19" t="s">
        <v>1118</v>
      </c>
      <c r="D220" s="19" t="str">
        <f>HYPERLINK("http://www.henontech.com/fieldsafety/harzard/harzard_show.php?rid=3115&amp;url=harzardrecs.php","五号减温减压分汽缸处阀门保温缺失，一员工在作业过程中，右手臂被约300℃蒸汽阀体烫伤，送医救治，经医院诊断为浅二度烫伤，治疗两天，回家休养五天。")</f>
        <v>五号减温减压分汽缸处阀门保温缺失，一员工在作业过程中，右手臂被约300℃蒸汽阀体烫伤，送医救治，经医院诊断为浅二度烫伤，治疗两天，回家休养五天。</v>
      </c>
      <c r="E220" s="19" t="s">
        <v>1148</v>
      </c>
      <c r="F220" s="20" t="s">
        <v>42</v>
      </c>
      <c r="G220" s="21" t="s">
        <v>43</v>
      </c>
      <c r="H220" s="19" t="s">
        <v>44</v>
      </c>
      <c r="I220" s="19" t="s">
        <v>67</v>
      </c>
      <c r="J220" s="19" t="s">
        <v>46</v>
      </c>
      <c r="K220" s="19" t="s">
        <v>47</v>
      </c>
      <c r="L220" s="19" t="s">
        <v>48</v>
      </c>
      <c r="M220" s="19" t="s">
        <v>117</v>
      </c>
      <c r="N220" s="19" t="s">
        <v>1149</v>
      </c>
      <c r="O220" s="19" t="s">
        <v>117</v>
      </c>
      <c r="P220" s="19" t="s">
        <v>937</v>
      </c>
      <c r="Q220" s="19" t="s">
        <v>1150</v>
      </c>
      <c r="R220" s="19" t="s">
        <v>1151</v>
      </c>
      <c r="S220" s="19" t="s">
        <v>1152</v>
      </c>
      <c r="T220" s="19" t="s">
        <v>54</v>
      </c>
      <c r="U220" s="19" t="s">
        <v>75</v>
      </c>
      <c r="V220" s="19" t="s">
        <v>271</v>
      </c>
      <c r="W220" s="19" t="s">
        <v>57</v>
      </c>
      <c r="X220" s="19" t="s">
        <v>58</v>
      </c>
      <c r="Y220" s="19"/>
      <c r="Z220" s="19" t="s">
        <v>1153</v>
      </c>
      <c r="AA220" s="19">
        <v>1</v>
      </c>
      <c r="AB220" s="19">
        <v>1</v>
      </c>
      <c r="AC220" s="19" t="s">
        <v>60</v>
      </c>
      <c r="AD220" s="19" t="s">
        <v>937</v>
      </c>
      <c r="AE220" s="19" t="s">
        <v>1123</v>
      </c>
      <c r="AF220" s="19" t="s">
        <v>1154</v>
      </c>
    </row>
    <row r="221" spans="1:34">
      <c r="A221" s="19">
        <v>213</v>
      </c>
      <c r="B221" s="19" t="s">
        <v>1147</v>
      </c>
      <c r="C221" s="19" t="s">
        <v>879</v>
      </c>
      <c r="D221" s="19" t="str">
        <f>HYPERLINK("http://www.henontech.com/fieldsafety/harzard/harzard_show.php?rid=3117&amp;url=harzardrecs.php","巡检通廊高度2米，台阶踏板宽度5厘米，一名员工巡检至主控楼楼顶时，踩踏台阶踏板，踏板过窄，重心不稳，人员跌落，尾椎处与地面发生碰撞")</f>
        <v>巡检通廊高度2米，台阶踏板宽度5厘米，一名员工巡检至主控楼楼顶时，踩踏台阶踏板，踏板过窄，重心不稳，人员跌落，尾椎处与地面发生碰撞</v>
      </c>
      <c r="E221" s="19" t="s">
        <v>1155</v>
      </c>
      <c r="F221" s="20" t="s">
        <v>42</v>
      </c>
      <c r="G221" s="21" t="s">
        <v>43</v>
      </c>
      <c r="H221" s="19" t="s">
        <v>44</v>
      </c>
      <c r="I221" s="19" t="s">
        <v>83</v>
      </c>
      <c r="J221" s="19" t="s">
        <v>46</v>
      </c>
      <c r="K221" s="19" t="s">
        <v>166</v>
      </c>
      <c r="L221" s="19" t="s">
        <v>48</v>
      </c>
      <c r="M221" s="19" t="s">
        <v>117</v>
      </c>
      <c r="N221" s="19" t="s">
        <v>1156</v>
      </c>
      <c r="O221" s="19" t="s">
        <v>117</v>
      </c>
      <c r="P221" s="19" t="s">
        <v>635</v>
      </c>
      <c r="Q221" s="19" t="s">
        <v>1150</v>
      </c>
      <c r="R221" s="19" t="s">
        <v>1129</v>
      </c>
      <c r="S221" s="19" t="s">
        <v>1157</v>
      </c>
      <c r="T221" s="19" t="s">
        <v>54</v>
      </c>
      <c r="U221" s="19" t="s">
        <v>55</v>
      </c>
      <c r="V221" s="19" t="s">
        <v>56</v>
      </c>
      <c r="W221" s="19" t="s">
        <v>57</v>
      </c>
      <c r="X221" s="19" t="s">
        <v>58</v>
      </c>
      <c r="Y221" s="19"/>
      <c r="Z221" s="19" t="s">
        <v>1158</v>
      </c>
      <c r="AA221" s="19">
        <v>1</v>
      </c>
      <c r="AB221" s="19">
        <v>1</v>
      </c>
      <c r="AC221" s="19" t="s">
        <v>60</v>
      </c>
      <c r="AD221" s="19" t="s">
        <v>635</v>
      </c>
      <c r="AE221" s="19" t="s">
        <v>1139</v>
      </c>
      <c r="AF221" s="19" t="s">
        <v>1159</v>
      </c>
    </row>
    <row r="222" spans="1:34">
      <c r="A222" s="19">
        <v>214</v>
      </c>
      <c r="B222" s="19" t="s">
        <v>1147</v>
      </c>
      <c r="C222" s="19" t="s">
        <v>1118</v>
      </c>
      <c r="D222" s="19" t="str">
        <f>HYPERLINK("http://www.henontech.com/fieldsafety/harzard/harzard_show.php?rid=3118&amp;url=harzardrecs.php","干熄炉四层平台铁板翘起，一名员工巡检至此时，被铁板绊倒，造成右脚脚踝扭伤")</f>
        <v>干熄炉四层平台铁板翘起，一名员工巡检至此时，被铁板绊倒，造成右脚脚踝扭伤</v>
      </c>
      <c r="E222" s="19" t="s">
        <v>1160</v>
      </c>
      <c r="F222" s="20" t="s">
        <v>42</v>
      </c>
      <c r="G222" s="21" t="s">
        <v>43</v>
      </c>
      <c r="H222" s="19" t="s">
        <v>44</v>
      </c>
      <c r="I222" s="19" t="s">
        <v>83</v>
      </c>
      <c r="J222" s="19" t="s">
        <v>46</v>
      </c>
      <c r="K222" s="19" t="s">
        <v>69</v>
      </c>
      <c r="L222" s="19" t="s">
        <v>48</v>
      </c>
      <c r="M222" s="19" t="s">
        <v>117</v>
      </c>
      <c r="N222" s="19" t="s">
        <v>1161</v>
      </c>
      <c r="O222" s="19" t="s">
        <v>117</v>
      </c>
      <c r="P222" s="19" t="s">
        <v>635</v>
      </c>
      <c r="Q222" s="19" t="s">
        <v>1150</v>
      </c>
      <c r="R222" s="19" t="s">
        <v>1162</v>
      </c>
      <c r="S222" s="19" t="s">
        <v>1163</v>
      </c>
      <c r="T222" s="19" t="s">
        <v>54</v>
      </c>
      <c r="U222" s="19" t="s">
        <v>55</v>
      </c>
      <c r="V222" s="19" t="s">
        <v>56</v>
      </c>
      <c r="W222" s="19" t="s">
        <v>57</v>
      </c>
      <c r="X222" s="19" t="s">
        <v>58</v>
      </c>
      <c r="Y222" s="19"/>
      <c r="Z222" s="19" t="s">
        <v>1164</v>
      </c>
      <c r="AA222" s="19">
        <v>1</v>
      </c>
      <c r="AB222" s="19">
        <v>1</v>
      </c>
      <c r="AC222" s="19" t="s">
        <v>60</v>
      </c>
      <c r="AD222" s="19" t="s">
        <v>635</v>
      </c>
      <c r="AE222" s="19" t="s">
        <v>1088</v>
      </c>
      <c r="AF222" s="19" t="s">
        <v>1165</v>
      </c>
    </row>
    <row r="223" spans="1:34">
      <c r="A223" s="19">
        <v>215</v>
      </c>
      <c r="B223" s="19" t="s">
        <v>1166</v>
      </c>
      <c r="C223" s="19" t="s">
        <v>1118</v>
      </c>
      <c r="D223" s="19" t="str">
        <f>HYPERLINK("http://www.henontech.com/fieldsafety/harzard/harzard_show.php?rid=3121&amp;url=harzardrecs.php","一员工在开五号减温减压东侧管道阀门时，因缺少必要的踩踏物，脚底打滑不甚从6米管道处跌落，头部着地，送医治疗抢救无效死亡")</f>
        <v>一员工在开五号减温减压东侧管道阀门时，因缺少必要的踩踏物，脚底打滑不甚从6米管道处跌落，头部着地，送医治疗抢救无效死亡</v>
      </c>
      <c r="E223" s="19" t="s">
        <v>512</v>
      </c>
      <c r="F223" s="20" t="s">
        <v>42</v>
      </c>
      <c r="G223" s="21" t="s">
        <v>43</v>
      </c>
      <c r="H223" s="19" t="s">
        <v>44</v>
      </c>
      <c r="I223" s="19"/>
      <c r="J223" s="19" t="s">
        <v>68</v>
      </c>
      <c r="K223" s="19"/>
      <c r="L223" s="19"/>
      <c r="M223" s="19" t="s">
        <v>117</v>
      </c>
      <c r="N223" s="19" t="s">
        <v>1167</v>
      </c>
      <c r="O223" s="19" t="s">
        <v>117</v>
      </c>
      <c r="P223" s="19" t="s">
        <v>224</v>
      </c>
      <c r="Q223" s="19" t="s">
        <v>1168</v>
      </c>
      <c r="R223" s="19" t="s">
        <v>1169</v>
      </c>
      <c r="S223" s="19" t="s">
        <v>1170</v>
      </c>
      <c r="T223" s="19" t="s">
        <v>54</v>
      </c>
      <c r="U223" s="19" t="s">
        <v>121</v>
      </c>
      <c r="V223" s="19" t="s">
        <v>271</v>
      </c>
      <c r="W223" s="19" t="s">
        <v>122</v>
      </c>
      <c r="X223" s="19" t="s">
        <v>58</v>
      </c>
      <c r="Y223" s="19"/>
      <c r="Z223" s="19" t="s">
        <v>1171</v>
      </c>
      <c r="AA223" s="19">
        <v>1</v>
      </c>
      <c r="AB223" s="19">
        <v>1</v>
      </c>
      <c r="AC223" s="19" t="s">
        <v>60</v>
      </c>
      <c r="AD223" s="19" t="s">
        <v>224</v>
      </c>
      <c r="AE223" s="19" t="s">
        <v>1080</v>
      </c>
      <c r="AF223" s="19"/>
    </row>
    <row r="224" spans="1:34">
      <c r="A224" s="19">
        <v>216</v>
      </c>
      <c r="B224" s="19" t="s">
        <v>1166</v>
      </c>
      <c r="C224" s="19" t="s">
        <v>1118</v>
      </c>
      <c r="D224" s="19" t="str">
        <f>HYPERLINK("http://www.henontech.com/fieldsafety/harzard/harzard_show.php?rid=3130&amp;url=harzardrecs.php","巡检人员巡检环境除尘时，由于缺少护栏，不慎从8米高处平台跌落至地面，头部着地，当场死亡")</f>
        <v>巡检人员巡检环境除尘时，由于缺少护栏，不慎从8米高处平台跌落至地面，头部着地，当场死亡</v>
      </c>
      <c r="E224" s="19" t="s">
        <v>512</v>
      </c>
      <c r="F224" s="20" t="s">
        <v>42</v>
      </c>
      <c r="G224" s="21" t="s">
        <v>43</v>
      </c>
      <c r="H224" s="19" t="s">
        <v>44</v>
      </c>
      <c r="I224" s="19" t="s">
        <v>67</v>
      </c>
      <c r="J224" s="19" t="s">
        <v>68</v>
      </c>
      <c r="K224" s="19" t="s">
        <v>69</v>
      </c>
      <c r="L224" s="19" t="s">
        <v>48</v>
      </c>
      <c r="M224" s="19" t="s">
        <v>117</v>
      </c>
      <c r="N224" s="19" t="s">
        <v>1172</v>
      </c>
      <c r="O224" s="19" t="s">
        <v>117</v>
      </c>
      <c r="P224" s="19" t="s">
        <v>937</v>
      </c>
      <c r="Q224" s="19" t="s">
        <v>1150</v>
      </c>
      <c r="R224" s="19" t="s">
        <v>1173</v>
      </c>
      <c r="S224" s="19" t="s">
        <v>1174</v>
      </c>
      <c r="T224" s="19" t="s">
        <v>54</v>
      </c>
      <c r="U224" s="19" t="s">
        <v>121</v>
      </c>
      <c r="V224" s="19" t="s">
        <v>271</v>
      </c>
      <c r="W224" s="19" t="s">
        <v>122</v>
      </c>
      <c r="X224" s="19" t="s">
        <v>58</v>
      </c>
      <c r="Y224" s="19"/>
      <c r="Z224" s="19" t="s">
        <v>1175</v>
      </c>
      <c r="AA224" s="19">
        <v>1</v>
      </c>
      <c r="AB224" s="19">
        <v>1</v>
      </c>
      <c r="AC224" s="19" t="s">
        <v>60</v>
      </c>
      <c r="AD224" s="19" t="s">
        <v>937</v>
      </c>
      <c r="AE224" s="19" t="s">
        <v>1123</v>
      </c>
      <c r="AF224" s="19" t="s">
        <v>1176</v>
      </c>
    </row>
    <row r="225" spans="1:34">
      <c r="A225" s="19">
        <v>217</v>
      </c>
      <c r="B225" s="19" t="s">
        <v>1177</v>
      </c>
      <c r="C225" s="19" t="s">
        <v>879</v>
      </c>
      <c r="D225" s="19" t="str">
        <f>HYPERLINK("http://www.henontech.com/fieldsafety/harzard/harzard_show.php?rid=3131&amp;url=harzardrecs.php","5#减温减压无跨越爬梯，一操作人员在跨越减温减压进入西侧调节减温水时，不慎滑跌，造成右脚扭伤，送医救治诊断为右脚踝脱臼，住院治疗3天，回家休息30天。")</f>
        <v>5#减温减压无跨越爬梯，一操作人员在跨越减温减压进入西侧调节减温水时，不慎滑跌，造成右脚扭伤，送医救治诊断为右脚踝脱臼，住院治疗3天，回家休息30天。</v>
      </c>
      <c r="E225" s="19" t="s">
        <v>1178</v>
      </c>
      <c r="F225" s="20" t="s">
        <v>42</v>
      </c>
      <c r="G225" s="21" t="s">
        <v>43</v>
      </c>
      <c r="H225" s="19" t="s">
        <v>44</v>
      </c>
      <c r="I225" s="19" t="s">
        <v>67</v>
      </c>
      <c r="J225" s="19" t="s">
        <v>46</v>
      </c>
      <c r="K225" s="19" t="s">
        <v>145</v>
      </c>
      <c r="L225" s="19" t="s">
        <v>48</v>
      </c>
      <c r="M225" s="19" t="s">
        <v>117</v>
      </c>
      <c r="N225" s="19" t="s">
        <v>1179</v>
      </c>
      <c r="O225" s="19" t="s">
        <v>117</v>
      </c>
      <c r="P225" s="19" t="s">
        <v>937</v>
      </c>
      <c r="Q225" s="19" t="s">
        <v>1180</v>
      </c>
      <c r="R225" s="19" t="s">
        <v>1181</v>
      </c>
      <c r="S225" s="19" t="s">
        <v>1182</v>
      </c>
      <c r="T225" s="19" t="s">
        <v>54</v>
      </c>
      <c r="U225" s="19" t="s">
        <v>55</v>
      </c>
      <c r="V225" s="19" t="s">
        <v>271</v>
      </c>
      <c r="W225" s="19" t="s">
        <v>122</v>
      </c>
      <c r="X225" s="19" t="s">
        <v>58</v>
      </c>
      <c r="Y225" s="19"/>
      <c r="Z225" s="19" t="s">
        <v>1183</v>
      </c>
      <c r="AA225" s="19">
        <v>1</v>
      </c>
      <c r="AB225" s="19">
        <v>1</v>
      </c>
      <c r="AC225" s="19" t="s">
        <v>60</v>
      </c>
      <c r="AD225" s="19" t="s">
        <v>937</v>
      </c>
      <c r="AE225" s="19" t="s">
        <v>1123</v>
      </c>
      <c r="AF225" s="19" t="s">
        <v>1184</v>
      </c>
    </row>
    <row r="226" spans="1:34">
      <c r="A226" s="19">
        <v>218</v>
      </c>
      <c r="B226" s="19" t="s">
        <v>1166</v>
      </c>
      <c r="C226" s="19" t="s">
        <v>879</v>
      </c>
      <c r="D226" s="19" t="str">
        <f>HYPERLINK("http://www.henontech.com/fieldsafety/harzard/harzard_show.php?rid=3133&amp;url=harzardrecs.php","5号减温减压蒸汽管道未设巡检通廊，一名员工巡检减温水泵翻越管道时，不慎踩蹭，从管道上当后仰跌落，头枕部碰到阀门，送医治疗，因脑干损伤，抢救无效死亡。")</f>
        <v>5号减温减压蒸汽管道未设巡检通廊，一名员工巡检减温水泵翻越管道时，不慎踩蹭，从管道上当后仰跌落，头枕部碰到阀门，送医治疗，因脑干损伤，抢救无效死亡。</v>
      </c>
      <c r="E226" s="19" t="s">
        <v>1185</v>
      </c>
      <c r="F226" s="20" t="s">
        <v>42</v>
      </c>
      <c r="G226" s="21" t="s">
        <v>43</v>
      </c>
      <c r="H226" s="19" t="s">
        <v>44</v>
      </c>
      <c r="I226" s="19" t="s">
        <v>45</v>
      </c>
      <c r="J226" s="19" t="s">
        <v>46</v>
      </c>
      <c r="K226" s="19" t="s">
        <v>145</v>
      </c>
      <c r="L226" s="19"/>
      <c r="M226" s="19" t="s">
        <v>117</v>
      </c>
      <c r="N226" s="19" t="s">
        <v>316</v>
      </c>
      <c r="O226" s="19" t="s">
        <v>117</v>
      </c>
      <c r="P226" s="19" t="s">
        <v>635</v>
      </c>
      <c r="Q226" s="19" t="s">
        <v>1150</v>
      </c>
      <c r="R226" s="19" t="s">
        <v>1186</v>
      </c>
      <c r="S226" s="19" t="s">
        <v>1187</v>
      </c>
      <c r="T226" s="19" t="s">
        <v>54</v>
      </c>
      <c r="U226" s="19" t="s">
        <v>121</v>
      </c>
      <c r="V226" s="19" t="s">
        <v>76</v>
      </c>
      <c r="W226" s="19" t="s">
        <v>138</v>
      </c>
      <c r="X226" s="19" t="s">
        <v>123</v>
      </c>
      <c r="Y226" s="19"/>
      <c r="Z226" s="19" t="s">
        <v>1188</v>
      </c>
      <c r="AA226" s="19">
        <v>1</v>
      </c>
      <c r="AB226" s="19">
        <v>1</v>
      </c>
      <c r="AC226" s="19" t="s">
        <v>60</v>
      </c>
      <c r="AD226" s="19" t="s">
        <v>635</v>
      </c>
      <c r="AE226" s="19" t="s">
        <v>1139</v>
      </c>
      <c r="AF226" s="19"/>
    </row>
    <row r="227" spans="1:34">
      <c r="A227" s="19">
        <v>219</v>
      </c>
      <c r="B227" s="19" t="s">
        <v>1166</v>
      </c>
      <c r="C227" s="19" t="s">
        <v>449</v>
      </c>
      <c r="D227" s="19" t="str">
        <f>HYPERLINK("http://www.henontech.com/fieldsafety/harzard/harzard_show.php?rid=3137&amp;url=harzardrecs.php","装入装置水封槽处盖板未固定且缝隙大，一名员工挖水封槽时，盖板活动，不慎右脚卡入缝隙内，右脚踝骨折。")</f>
        <v>装入装置水封槽处盖板未固定且缝隙大，一名员工挖水封槽时，盖板活动，不慎右脚卡入缝隙内，右脚踝骨折。</v>
      </c>
      <c r="E227" s="19" t="s">
        <v>1189</v>
      </c>
      <c r="F227" s="20" t="s">
        <v>42</v>
      </c>
      <c r="G227" s="21" t="s">
        <v>43</v>
      </c>
      <c r="H227" s="19" t="s">
        <v>44</v>
      </c>
      <c r="I227" s="19" t="s">
        <v>83</v>
      </c>
      <c r="J227" s="19" t="s">
        <v>46</v>
      </c>
      <c r="K227" s="19"/>
      <c r="L227" s="19"/>
      <c r="M227" s="19" t="s">
        <v>117</v>
      </c>
      <c r="N227" s="19" t="s">
        <v>735</v>
      </c>
      <c r="O227" s="19" t="s">
        <v>117</v>
      </c>
      <c r="P227" s="19" t="s">
        <v>635</v>
      </c>
      <c r="Q227" s="19" t="s">
        <v>1180</v>
      </c>
      <c r="R227" s="19" t="s">
        <v>1190</v>
      </c>
      <c r="S227" s="19" t="s">
        <v>1191</v>
      </c>
      <c r="T227" s="19" t="s">
        <v>54</v>
      </c>
      <c r="U227" s="19" t="s">
        <v>55</v>
      </c>
      <c r="V227" s="19" t="s">
        <v>101</v>
      </c>
      <c r="W227" s="19" t="s">
        <v>138</v>
      </c>
      <c r="X227" s="19" t="s">
        <v>58</v>
      </c>
      <c r="Y227" s="19"/>
      <c r="Z227" s="19" t="s">
        <v>1192</v>
      </c>
      <c r="AA227" s="19">
        <v>1</v>
      </c>
      <c r="AB227" s="19">
        <v>1</v>
      </c>
      <c r="AC227" s="19" t="s">
        <v>60</v>
      </c>
      <c r="AD227" s="19" t="s">
        <v>635</v>
      </c>
      <c r="AE227" s="19" t="s">
        <v>1139</v>
      </c>
      <c r="AF227" s="19" t="s">
        <v>1193</v>
      </c>
    </row>
    <row r="228" spans="1:34" customHeight="1" ht="42">
      <c r="A228" s="19">
        <v>220</v>
      </c>
      <c r="B228" s="19" t="s">
        <v>1194</v>
      </c>
      <c r="C228" s="19" t="s">
        <v>1195</v>
      </c>
      <c r="D228" s="19" t="str">
        <f>HYPERLINK("http://www.henontech.com/fieldsafety/harzard/harzard_show.php?rid=3159&amp;url=harzardrecs.php","操作工在清理除尘水箱湿焦末时，将湿焦末洒落在拦焦滑轨上，造成短路，导致滑轨打断，1#站配电室跳闸。")</f>
        <v>操作工在清理除尘水箱湿焦末时，将湿焦末洒落在拦焦滑轨上，造成短路，导致滑轨打断，1#站配电室跳闸。</v>
      </c>
      <c r="E228" s="19" t="s">
        <v>1196</v>
      </c>
      <c r="F228" s="20" t="s">
        <v>42</v>
      </c>
      <c r="G228" s="21" t="s">
        <v>43</v>
      </c>
      <c r="H228" s="19" t="s">
        <v>44</v>
      </c>
      <c r="I228" s="19" t="s">
        <v>388</v>
      </c>
      <c r="J228" s="19" t="s">
        <v>401</v>
      </c>
      <c r="K228" s="19" t="s">
        <v>47</v>
      </c>
      <c r="L228" s="19" t="s">
        <v>48</v>
      </c>
      <c r="M228" s="19" t="s">
        <v>117</v>
      </c>
      <c r="N228" s="19" t="s">
        <v>1197</v>
      </c>
      <c r="O228" s="19" t="s">
        <v>117</v>
      </c>
      <c r="P228" s="19" t="s">
        <v>1198</v>
      </c>
      <c r="Q228" s="19" t="s">
        <v>1199</v>
      </c>
      <c r="R228" s="19" t="s">
        <v>1200</v>
      </c>
      <c r="S228" s="19"/>
      <c r="T228" s="19" t="s">
        <v>100</v>
      </c>
      <c r="U228" s="19" t="s">
        <v>192</v>
      </c>
      <c r="V228" s="19" t="s">
        <v>56</v>
      </c>
      <c r="W228" s="19" t="s">
        <v>77</v>
      </c>
      <c r="X228" s="19" t="s">
        <v>123</v>
      </c>
      <c r="Y228" s="19"/>
      <c r="Z228" s="19" t="s">
        <v>1201</v>
      </c>
      <c r="AA228" s="19">
        <v>2</v>
      </c>
      <c r="AB228" s="19">
        <v>2</v>
      </c>
      <c r="AC228" s="19" t="s">
        <v>60</v>
      </c>
      <c r="AD228" s="19" t="s">
        <v>1198</v>
      </c>
      <c r="AE228" s="19" t="s">
        <v>1202</v>
      </c>
      <c r="AF228" s="19"/>
    </row>
    <row r="229" spans="1:34">
      <c r="A229" s="19">
        <v>221</v>
      </c>
      <c r="B229" s="19" t="s">
        <v>1194</v>
      </c>
      <c r="C229" s="19" t="s">
        <v>1118</v>
      </c>
      <c r="D229" s="19" t="str">
        <f>HYPERLINK("http://www.henontech.com/fieldsafety/harzard/harzard_show.php?rid=3166&amp;url=harzardrecs.php","干熄炉二层地面铁板翘起，一巡检人员夜间巡检时未察觉，被翘起的铁板绊倒，膝盖着地，送医救治，确诊为左侧膝盖骨骨裂，治疗7天，修养3个月后恢复工作。")</f>
        <v>干熄炉二层地面铁板翘起，一巡检人员夜间巡检时未察觉，被翘起的铁板绊倒，膝盖着地，送医救治，确诊为左侧膝盖骨骨裂，治疗7天，修养3个月后恢复工作。</v>
      </c>
      <c r="E229" s="19" t="s">
        <v>1203</v>
      </c>
      <c r="F229" s="20" t="s">
        <v>42</v>
      </c>
      <c r="G229" s="21" t="s">
        <v>43</v>
      </c>
      <c r="H229" s="19" t="s">
        <v>44</v>
      </c>
      <c r="I229" s="19" t="s">
        <v>67</v>
      </c>
      <c r="J229" s="19" t="s">
        <v>46</v>
      </c>
      <c r="K229" s="19" t="s">
        <v>69</v>
      </c>
      <c r="L229" s="19" t="s">
        <v>48</v>
      </c>
      <c r="M229" s="19" t="s">
        <v>117</v>
      </c>
      <c r="N229" s="19" t="s">
        <v>1204</v>
      </c>
      <c r="O229" s="19" t="s">
        <v>117</v>
      </c>
      <c r="P229" s="19" t="s">
        <v>937</v>
      </c>
      <c r="Q229" s="19" t="s">
        <v>1205</v>
      </c>
      <c r="R229" s="19" t="s">
        <v>1206</v>
      </c>
      <c r="S229" s="19" t="s">
        <v>1207</v>
      </c>
      <c r="T229" s="19" t="s">
        <v>54</v>
      </c>
      <c r="U229" s="19" t="s">
        <v>55</v>
      </c>
      <c r="V229" s="19" t="s">
        <v>56</v>
      </c>
      <c r="W229" s="19" t="s">
        <v>57</v>
      </c>
      <c r="X229" s="19" t="s">
        <v>58</v>
      </c>
      <c r="Y229" s="19"/>
      <c r="Z229" s="19" t="s">
        <v>1208</v>
      </c>
      <c r="AA229" s="19">
        <v>1</v>
      </c>
      <c r="AB229" s="19">
        <v>1</v>
      </c>
      <c r="AC229" s="19" t="s">
        <v>60</v>
      </c>
      <c r="AD229" s="19" t="s">
        <v>937</v>
      </c>
      <c r="AE229" s="19" t="s">
        <v>1088</v>
      </c>
      <c r="AF229" s="19" t="s">
        <v>1209</v>
      </c>
    </row>
    <row r="230" spans="1:34">
      <c r="A230" s="19">
        <v>222</v>
      </c>
      <c r="B230" s="19" t="s">
        <v>1210</v>
      </c>
      <c r="C230" s="19" t="s">
        <v>1211</v>
      </c>
      <c r="D230" s="19" t="str">
        <f>HYPERLINK("http://www.henontech.com/fieldsafety/harzard/harzard_show.php?rid=3200&amp;url=harzardrecs.php","一名除盐水操作人员在夜间巡检至浓水设备中间水箱时被高出地面30公分的信号缆绊倒，导致膝盖出血，右臂骨折。")</f>
        <v>一名除盐水操作人员在夜间巡检至浓水设备中间水箱时被高出地面30公分的信号缆绊倒，导致膝盖出血，右臂骨折。</v>
      </c>
      <c r="E230" s="19" t="s">
        <v>1212</v>
      </c>
      <c r="F230" s="20" t="s">
        <v>42</v>
      </c>
      <c r="G230" s="21" t="s">
        <v>43</v>
      </c>
      <c r="H230" s="19" t="s">
        <v>44</v>
      </c>
      <c r="I230" s="19"/>
      <c r="J230" s="19" t="s">
        <v>46</v>
      </c>
      <c r="K230" s="19" t="s">
        <v>69</v>
      </c>
      <c r="L230" s="19"/>
      <c r="M230" s="19" t="s">
        <v>117</v>
      </c>
      <c r="N230" s="19" t="s">
        <v>1213</v>
      </c>
      <c r="O230" s="19" t="s">
        <v>117</v>
      </c>
      <c r="P230" s="19" t="s">
        <v>224</v>
      </c>
      <c r="Q230" s="19" t="s">
        <v>1168</v>
      </c>
      <c r="R230" s="19" t="s">
        <v>1214</v>
      </c>
      <c r="S230" s="19" t="s">
        <v>1215</v>
      </c>
      <c r="T230" s="19" t="s">
        <v>54</v>
      </c>
      <c r="U230" s="19" t="s">
        <v>55</v>
      </c>
      <c r="V230" s="19" t="s">
        <v>271</v>
      </c>
      <c r="W230" s="19" t="s">
        <v>122</v>
      </c>
      <c r="X230" s="19" t="s">
        <v>58</v>
      </c>
      <c r="Y230" s="19"/>
      <c r="Z230" s="19" t="s">
        <v>1216</v>
      </c>
      <c r="AA230" s="19">
        <v>1</v>
      </c>
      <c r="AB230" s="19">
        <v>1</v>
      </c>
      <c r="AC230" s="19" t="s">
        <v>60</v>
      </c>
      <c r="AD230" s="19" t="s">
        <v>224</v>
      </c>
      <c r="AE230" s="19" t="s">
        <v>1202</v>
      </c>
      <c r="AF230" s="19"/>
    </row>
    <row r="231" spans="1:34" customHeight="1" ht="42">
      <c r="A231" s="19">
        <v>223</v>
      </c>
      <c r="B231" s="19" t="s">
        <v>1217</v>
      </c>
      <c r="C231" s="19" t="s">
        <v>195</v>
      </c>
      <c r="D231" s="19" t="str">
        <f>HYPERLINK("http://www.henontech.com/fieldsafety/harzard/harzard_show.php?rid=3231&amp;url=harzardrecs.php","5.5米焦炉集气管顶部南头有一束信号线缆裸露，下雨连电影响信号传输。")</f>
        <v>5.5米焦炉集气管顶部南头有一束信号线缆裸露，下雨连电影响信号传输。</v>
      </c>
      <c r="E231" s="19" t="s">
        <v>1218</v>
      </c>
      <c r="F231" s="20" t="s">
        <v>42</v>
      </c>
      <c r="G231" s="22" t="s">
        <v>66</v>
      </c>
      <c r="H231" s="19" t="s">
        <v>44</v>
      </c>
      <c r="I231" s="19" t="s">
        <v>67</v>
      </c>
      <c r="J231" s="19" t="s">
        <v>46</v>
      </c>
      <c r="K231" s="19" t="s">
        <v>47</v>
      </c>
      <c r="L231" s="19" t="s">
        <v>48</v>
      </c>
      <c r="M231" s="19" t="s">
        <v>117</v>
      </c>
      <c r="N231" s="19" t="s">
        <v>1219</v>
      </c>
      <c r="O231" s="19" t="s">
        <v>117</v>
      </c>
      <c r="P231" s="19" t="s">
        <v>224</v>
      </c>
      <c r="Q231" s="19" t="s">
        <v>1220</v>
      </c>
      <c r="R231" s="19" t="s">
        <v>1221</v>
      </c>
      <c r="S231" s="19"/>
      <c r="T231" s="19" t="s">
        <v>270</v>
      </c>
      <c r="U231" s="19" t="s">
        <v>75</v>
      </c>
      <c r="V231" s="19" t="s">
        <v>56</v>
      </c>
      <c r="W231" s="19" t="s">
        <v>138</v>
      </c>
      <c r="X231" s="19" t="s">
        <v>123</v>
      </c>
      <c r="Y231" s="19"/>
      <c r="Z231" s="19" t="s">
        <v>1222</v>
      </c>
      <c r="AA231" s="19">
        <v>2</v>
      </c>
      <c r="AB231" s="19">
        <v>2</v>
      </c>
      <c r="AC231" s="19" t="s">
        <v>60</v>
      </c>
      <c r="AD231" s="19" t="s">
        <v>224</v>
      </c>
      <c r="AE231" s="19" t="s">
        <v>1132</v>
      </c>
      <c r="AF231" s="19"/>
    </row>
    <row r="232" spans="1:34">
      <c r="A232" s="19">
        <v>224</v>
      </c>
      <c r="B232" s="19" t="s">
        <v>1217</v>
      </c>
      <c r="C232" s="19" t="s">
        <v>1223</v>
      </c>
      <c r="D232" s="19" t="str">
        <f>HYPERLINK("http://www.henontech.com/fieldsafety/harzard/harzard_show.php?rid=3237&amp;url=harzardrecs.php","一名操作工在巡检时发现原西风机房东侧蒸汽管道泄漏，无安全警示牌，一旦有人经过，就会造成操作工右手臂烫伤，送医务室上药、消毒，不影响工作，正常上班。")</f>
        <v>一名操作工在巡检时发现原西风机房东侧蒸汽管道泄漏，无安全警示牌，一旦有人经过，就会造成操作工右手臂烫伤，送医务室上药、消毒，不影响工作，正常上班。</v>
      </c>
      <c r="E232" s="19" t="s">
        <v>1224</v>
      </c>
      <c r="F232" s="20" t="s">
        <v>42</v>
      </c>
      <c r="G232" s="21" t="s">
        <v>43</v>
      </c>
      <c r="H232" s="19" t="s">
        <v>44</v>
      </c>
      <c r="I232" s="19" t="s">
        <v>45</v>
      </c>
      <c r="J232" s="19" t="s">
        <v>46</v>
      </c>
      <c r="K232" s="19" t="s">
        <v>69</v>
      </c>
      <c r="L232" s="19" t="s">
        <v>48</v>
      </c>
      <c r="M232" s="19" t="s">
        <v>70</v>
      </c>
      <c r="N232" s="19" t="s">
        <v>504</v>
      </c>
      <c r="O232" s="19" t="s">
        <v>70</v>
      </c>
      <c r="P232" s="19" t="s">
        <v>72</v>
      </c>
      <c r="Q232" s="19" t="s">
        <v>1225</v>
      </c>
      <c r="R232" s="19" t="s">
        <v>1226</v>
      </c>
      <c r="S232" s="19"/>
      <c r="T232" s="19" t="s">
        <v>54</v>
      </c>
      <c r="U232" s="19" t="s">
        <v>75</v>
      </c>
      <c r="V232" s="19" t="s">
        <v>76</v>
      </c>
      <c r="W232" s="19" t="s">
        <v>77</v>
      </c>
      <c r="X232" s="19"/>
      <c r="Y232" s="19"/>
      <c r="Z232" s="19" t="s">
        <v>1227</v>
      </c>
      <c r="AA232" s="19">
        <v>1</v>
      </c>
      <c r="AB232" s="19">
        <v>0</v>
      </c>
      <c r="AC232" s="19" t="s">
        <v>60</v>
      </c>
      <c r="AD232" s="19" t="s">
        <v>72</v>
      </c>
      <c r="AE232" s="19" t="s">
        <v>1074</v>
      </c>
      <c r="AF232" s="19" t="s">
        <v>1228</v>
      </c>
    </row>
    <row r="233" spans="1:34">
      <c r="A233" s="19">
        <v>225</v>
      </c>
      <c r="B233" s="19" t="s">
        <v>1229</v>
      </c>
      <c r="C233" s="19" t="s">
        <v>1223</v>
      </c>
      <c r="D233" s="19" t="str">
        <f>HYPERLINK("http://www.henontech.com/fieldsafety/harzard/harzard_show.php?rid=3238&amp;url=harzardrecs.php","作废")</f>
        <v>作废</v>
      </c>
      <c r="E233" s="19" t="s">
        <v>1230</v>
      </c>
      <c r="F233" s="24" t="s">
        <v>387</v>
      </c>
      <c r="G233" s="21" t="s">
        <v>43</v>
      </c>
      <c r="H233" s="19" t="s">
        <v>44</v>
      </c>
      <c r="I233" s="19" t="s">
        <v>45</v>
      </c>
      <c r="J233" s="19"/>
      <c r="K233" s="19"/>
      <c r="L233" s="19"/>
      <c r="M233" s="19" t="s">
        <v>285</v>
      </c>
      <c r="N233" s="19" t="s">
        <v>1231</v>
      </c>
      <c r="O233" s="19"/>
      <c r="P233" s="19"/>
      <c r="Q233" s="19"/>
      <c r="R233" s="19" t="s">
        <v>1232</v>
      </c>
      <c r="S233" s="19" t="s">
        <v>1233</v>
      </c>
      <c r="T233" s="19" t="s">
        <v>54</v>
      </c>
      <c r="U233" s="19" t="s">
        <v>75</v>
      </c>
      <c r="V233" s="19" t="s">
        <v>101</v>
      </c>
      <c r="W233" s="19" t="s">
        <v>77</v>
      </c>
      <c r="X233" s="19"/>
      <c r="Y233" s="19"/>
      <c r="Z233" s="19"/>
      <c r="AA233" s="19">
        <v>0</v>
      </c>
      <c r="AB233" s="19"/>
      <c r="AC233" s="19" t="s">
        <v>392</v>
      </c>
      <c r="AD233" s="19"/>
      <c r="AE233" s="19"/>
      <c r="AF233" s="19"/>
    </row>
    <row r="234" spans="1:34" customHeight="1" ht="42">
      <c r="A234" s="19">
        <v>226</v>
      </c>
      <c r="B234" s="19" t="s">
        <v>1229</v>
      </c>
      <c r="C234" s="19" t="s">
        <v>482</v>
      </c>
      <c r="D234" s="19" t="str">
        <f>HYPERLINK("http://www.henontech.com/fieldsafety/harzard/harzard_show.php?rid=3246&amp;url=harzardrecs.php","集气管平台护栏上部缺失，一名操作工在清理桥管时用力不当、重心不稳，从3米高平台摔落炉顶面，右腿部与炉面发生碰撞，造成右腿骨折")</f>
        <v>集气管平台护栏上部缺失，一名操作工在清理桥管时用力不当、重心不稳，从3米高平台摔落炉顶面，右腿部与炉面发生碰撞，造成右腿骨折</v>
      </c>
      <c r="E234" s="19" t="s">
        <v>1234</v>
      </c>
      <c r="F234" s="20" t="s">
        <v>42</v>
      </c>
      <c r="G234" s="21" t="s">
        <v>43</v>
      </c>
      <c r="H234" s="19" t="s">
        <v>44</v>
      </c>
      <c r="I234" s="19" t="s">
        <v>83</v>
      </c>
      <c r="J234" s="19" t="s">
        <v>68</v>
      </c>
      <c r="K234" s="19" t="s">
        <v>209</v>
      </c>
      <c r="L234" s="19" t="s">
        <v>48</v>
      </c>
      <c r="M234" s="19" t="s">
        <v>117</v>
      </c>
      <c r="N234" s="19" t="s">
        <v>1235</v>
      </c>
      <c r="O234" s="19" t="s">
        <v>117</v>
      </c>
      <c r="P234" s="19" t="s">
        <v>224</v>
      </c>
      <c r="Q234" s="19" t="s">
        <v>1225</v>
      </c>
      <c r="R234" s="19" t="s">
        <v>1236</v>
      </c>
      <c r="S234" s="19"/>
      <c r="T234" s="19" t="s">
        <v>54</v>
      </c>
      <c r="U234" s="19" t="s">
        <v>55</v>
      </c>
      <c r="V234" s="19" t="s">
        <v>56</v>
      </c>
      <c r="W234" s="19" t="s">
        <v>57</v>
      </c>
      <c r="X234" s="19" t="s">
        <v>123</v>
      </c>
      <c r="Y234" s="19"/>
      <c r="Z234" s="19" t="s">
        <v>1237</v>
      </c>
      <c r="AA234" s="19">
        <v>2</v>
      </c>
      <c r="AB234" s="19">
        <v>2</v>
      </c>
      <c r="AC234" s="19" t="s">
        <v>60</v>
      </c>
      <c r="AD234" s="19" t="s">
        <v>224</v>
      </c>
      <c r="AE234" s="19" t="s">
        <v>1074</v>
      </c>
      <c r="AF234" s="19"/>
    </row>
    <row r="235" spans="1:34" customHeight="1" ht="42">
      <c r="A235" s="19">
        <v>227</v>
      </c>
      <c r="B235" s="19" t="s">
        <v>1229</v>
      </c>
      <c r="C235" s="19" t="s">
        <v>1238</v>
      </c>
      <c r="D235" s="19" t="str">
        <f>HYPERLINK("http://www.henontech.com/fieldsafety/harzard/harzard_show.php?rid=3249&amp;url=harzardrecs.php","夏季雨水多，干熄车配电室和空压机房顶局部漏水厉害，造成电器短路导致电器设备损坏，影响正常生产。")</f>
        <v>夏季雨水多，干熄车配电室和空压机房顶局部漏水厉害，造成电器短路导致电器设备损坏，影响正常生产。</v>
      </c>
      <c r="E235" s="19" t="s">
        <v>1239</v>
      </c>
      <c r="F235" s="20" t="s">
        <v>42</v>
      </c>
      <c r="G235" s="21" t="s">
        <v>43</v>
      </c>
      <c r="H235" s="19" t="s">
        <v>44</v>
      </c>
      <c r="I235" s="19" t="s">
        <v>67</v>
      </c>
      <c r="J235" s="19" t="s">
        <v>202</v>
      </c>
      <c r="K235" s="19" t="s">
        <v>209</v>
      </c>
      <c r="L235" s="19" t="s">
        <v>48</v>
      </c>
      <c r="M235" s="19" t="s">
        <v>117</v>
      </c>
      <c r="N235" s="19" t="s">
        <v>1240</v>
      </c>
      <c r="O235" s="19" t="s">
        <v>117</v>
      </c>
      <c r="P235" s="19" t="s">
        <v>224</v>
      </c>
      <c r="Q235" s="19" t="s">
        <v>1241</v>
      </c>
      <c r="R235" s="19" t="s">
        <v>1242</v>
      </c>
      <c r="S235" s="19"/>
      <c r="T235" s="19" t="s">
        <v>100</v>
      </c>
      <c r="U235" s="19" t="s">
        <v>192</v>
      </c>
      <c r="V235" s="19" t="s">
        <v>101</v>
      </c>
      <c r="W235" s="19" t="s">
        <v>77</v>
      </c>
      <c r="X235" s="19" t="s">
        <v>123</v>
      </c>
      <c r="Y235" s="19"/>
      <c r="Z235" s="19" t="s">
        <v>1243</v>
      </c>
      <c r="AA235" s="19">
        <v>2</v>
      </c>
      <c r="AB235" s="19">
        <v>2</v>
      </c>
      <c r="AC235" s="19" t="s">
        <v>60</v>
      </c>
      <c r="AD235" s="19" t="s">
        <v>224</v>
      </c>
      <c r="AE235" s="19" t="s">
        <v>1202</v>
      </c>
      <c r="AF235" s="19"/>
    </row>
    <row r="236" spans="1:34" customHeight="1" ht="42">
      <c r="A236" s="19">
        <v>228</v>
      </c>
      <c r="B236" s="19" t="s">
        <v>1244</v>
      </c>
      <c r="C236" s="19" t="s">
        <v>1238</v>
      </c>
      <c r="D236" s="19" t="str">
        <f>HYPERLINK("http://www.henontech.com/fieldsafety/harzard/harzard_show.php?rid=3255&amp;url=harzardrecs.php","装煤车顶部平台有一缺口，若一操作工在平煤时经过此处，恰巧脚入缺口绊倒，左手部与铁板发生碰撞，造成左手部骨折。")</f>
        <v>装煤车顶部平台有一缺口，若一操作工在平煤时经过此处，恰巧脚入缺口绊倒，左手部与铁板发生碰撞，造成左手部骨折。</v>
      </c>
      <c r="E236" s="19" t="s">
        <v>1245</v>
      </c>
      <c r="F236" s="20" t="s">
        <v>42</v>
      </c>
      <c r="G236" s="21" t="s">
        <v>43</v>
      </c>
      <c r="H236" s="19" t="s">
        <v>44</v>
      </c>
      <c r="I236" s="19" t="s">
        <v>83</v>
      </c>
      <c r="J236" s="19" t="s">
        <v>46</v>
      </c>
      <c r="K236" s="19" t="s">
        <v>69</v>
      </c>
      <c r="L236" s="19" t="s">
        <v>48</v>
      </c>
      <c r="M236" s="19" t="s">
        <v>117</v>
      </c>
      <c r="N236" s="19" t="s">
        <v>1077</v>
      </c>
      <c r="O236" s="19" t="s">
        <v>117</v>
      </c>
      <c r="P236" s="19" t="s">
        <v>224</v>
      </c>
      <c r="Q236" s="19" t="s">
        <v>1168</v>
      </c>
      <c r="R236" s="19" t="s">
        <v>1246</v>
      </c>
      <c r="S236" s="19"/>
      <c r="T236" s="19" t="s">
        <v>54</v>
      </c>
      <c r="U236" s="19" t="s">
        <v>55</v>
      </c>
      <c r="V236" s="19" t="s">
        <v>56</v>
      </c>
      <c r="W236" s="19" t="s">
        <v>57</v>
      </c>
      <c r="X236" s="19" t="s">
        <v>58</v>
      </c>
      <c r="Y236" s="19"/>
      <c r="Z236" s="19" t="s">
        <v>1247</v>
      </c>
      <c r="AA236" s="19">
        <v>2</v>
      </c>
      <c r="AB236" s="19">
        <v>2</v>
      </c>
      <c r="AC236" s="19" t="s">
        <v>60</v>
      </c>
      <c r="AD236" s="19" t="s">
        <v>224</v>
      </c>
      <c r="AE236" s="19" t="s">
        <v>1074</v>
      </c>
      <c r="AF236" s="19"/>
    </row>
    <row r="237" spans="1:34" customHeight="1" ht="42">
      <c r="A237" s="19">
        <v>229</v>
      </c>
      <c r="B237" s="19" t="s">
        <v>1244</v>
      </c>
      <c r="C237" s="19" t="s">
        <v>195</v>
      </c>
      <c r="D237" s="19" t="str">
        <f>HYPERLINK("http://www.henontech.com/fieldsafety/harzard/harzard_show.php?rid=3256&amp;url=harzardrecs.php","水熄车平台护栏立柱底端腐蚀严重，已成断裂状态，一操作工在此干活时，不慎跌落至4米下的地面，且头部磕在熄焦道轨上，将伤者紧急送医，抢救无效死亡")</f>
        <v>水熄车平台护栏立柱底端腐蚀严重，已成断裂状态，一操作工在此干活时，不慎跌落至4米下的地面，且头部磕在熄焦道轨上，将伤者紧急送医，抢救无效死亡</v>
      </c>
      <c r="E237" s="19" t="s">
        <v>1096</v>
      </c>
      <c r="F237" s="20" t="s">
        <v>42</v>
      </c>
      <c r="G237" s="21" t="s">
        <v>43</v>
      </c>
      <c r="H237" s="19" t="s">
        <v>44</v>
      </c>
      <c r="I237" s="19" t="s">
        <v>67</v>
      </c>
      <c r="J237" s="19" t="s">
        <v>46</v>
      </c>
      <c r="K237" s="19" t="s">
        <v>69</v>
      </c>
      <c r="L237" s="19" t="s">
        <v>48</v>
      </c>
      <c r="M237" s="19" t="s">
        <v>117</v>
      </c>
      <c r="N237" s="19" t="s">
        <v>739</v>
      </c>
      <c r="O237" s="19" t="s">
        <v>117</v>
      </c>
      <c r="P237" s="19" t="s">
        <v>224</v>
      </c>
      <c r="Q237" s="19" t="s">
        <v>1168</v>
      </c>
      <c r="R237" s="19" t="s">
        <v>1248</v>
      </c>
      <c r="S237" s="19"/>
      <c r="T237" s="19" t="s">
        <v>54</v>
      </c>
      <c r="U237" s="19" t="s">
        <v>121</v>
      </c>
      <c r="V237" s="19" t="s">
        <v>56</v>
      </c>
      <c r="W237" s="19" t="s">
        <v>122</v>
      </c>
      <c r="X237" s="19" t="s">
        <v>58</v>
      </c>
      <c r="Y237" s="19"/>
      <c r="Z237" s="19" t="s">
        <v>1249</v>
      </c>
      <c r="AA237" s="19">
        <v>2</v>
      </c>
      <c r="AB237" s="19">
        <v>2</v>
      </c>
      <c r="AC237" s="19" t="s">
        <v>60</v>
      </c>
      <c r="AD237" s="19" t="s">
        <v>224</v>
      </c>
      <c r="AE237" s="19" t="s">
        <v>1074</v>
      </c>
      <c r="AF237" s="19"/>
    </row>
    <row r="238" spans="1:34" customHeight="1" ht="42">
      <c r="A238" s="19">
        <v>230</v>
      </c>
      <c r="B238" s="19" t="s">
        <v>1244</v>
      </c>
      <c r="C238" s="19" t="s">
        <v>1250</v>
      </c>
      <c r="D238" s="19" t="str">
        <f>HYPERLINK("http://www.henontech.com/fieldsafety/harzard/harzard_show.php?rid=3258&amp;url=harzardrecs.php","炉顶46号上升管盖，放置一铁管，若一名炉顶工在打盖时，铁管从上升管落下，正好砸中炉顶工右肩部，造成右肩部骨折")</f>
        <v>炉顶46号上升管盖，放置一铁管，若一名炉顶工在打盖时，铁管从上升管落下，正好砸中炉顶工右肩部，造成右肩部骨折</v>
      </c>
      <c r="E238" s="19" t="s">
        <v>1251</v>
      </c>
      <c r="F238" s="20" t="s">
        <v>42</v>
      </c>
      <c r="G238" s="21" t="s">
        <v>43</v>
      </c>
      <c r="H238" s="19" t="s">
        <v>44</v>
      </c>
      <c r="I238" s="19" t="s">
        <v>83</v>
      </c>
      <c r="J238" s="19" t="s">
        <v>46</v>
      </c>
      <c r="K238" s="19" t="s">
        <v>47</v>
      </c>
      <c r="L238" s="19" t="s">
        <v>48</v>
      </c>
      <c r="M238" s="19" t="s">
        <v>117</v>
      </c>
      <c r="N238" s="19" t="s">
        <v>1084</v>
      </c>
      <c r="O238" s="19" t="s">
        <v>117</v>
      </c>
      <c r="P238" s="19" t="s">
        <v>1198</v>
      </c>
      <c r="Q238" s="19" t="s">
        <v>1168</v>
      </c>
      <c r="R238" s="19" t="s">
        <v>1252</v>
      </c>
      <c r="S238" s="19"/>
      <c r="T238" s="19" t="s">
        <v>54</v>
      </c>
      <c r="U238" s="19" t="s">
        <v>55</v>
      </c>
      <c r="V238" s="19" t="s">
        <v>56</v>
      </c>
      <c r="W238" s="19" t="s">
        <v>57</v>
      </c>
      <c r="X238" s="19" t="s">
        <v>123</v>
      </c>
      <c r="Y238" s="19"/>
      <c r="Z238" s="19" t="s">
        <v>1253</v>
      </c>
      <c r="AA238" s="19">
        <v>2</v>
      </c>
      <c r="AB238" s="19">
        <v>2</v>
      </c>
      <c r="AC238" s="19" t="s">
        <v>60</v>
      </c>
      <c r="AD238" s="19" t="s">
        <v>1198</v>
      </c>
      <c r="AE238" s="19" t="s">
        <v>1202</v>
      </c>
      <c r="AF238" s="19"/>
    </row>
    <row r="239" spans="1:34" customHeight="1" ht="42">
      <c r="A239" s="19">
        <v>231</v>
      </c>
      <c r="B239" s="19" t="s">
        <v>1254</v>
      </c>
      <c r="C239" s="19" t="s">
        <v>1238</v>
      </c>
      <c r="D239" s="19" t="str">
        <f>HYPERLINK("http://www.henontech.com/fieldsafety/harzard/harzard_show.php?rid=3260&amp;url=harzardrecs.php","一名巡检工在焦4通廊巡检时，突然被一块腐蚀的盖扳掉下来砸倒，导致腰椎错位，及时送往医院。")</f>
        <v>一名巡检工在焦4通廊巡检时，突然被一块腐蚀的盖扳掉下来砸倒，导致腰椎错位，及时送往医院。</v>
      </c>
      <c r="E239" s="19" t="s">
        <v>1255</v>
      </c>
      <c r="F239" s="20" t="s">
        <v>42</v>
      </c>
      <c r="G239" s="21" t="s">
        <v>43</v>
      </c>
      <c r="H239" s="19" t="s">
        <v>44</v>
      </c>
      <c r="I239" s="19" t="s">
        <v>67</v>
      </c>
      <c r="J239" s="19" t="s">
        <v>334</v>
      </c>
      <c r="K239" s="19" t="s">
        <v>47</v>
      </c>
      <c r="L239" s="19" t="s">
        <v>48</v>
      </c>
      <c r="M239" s="19" t="s">
        <v>117</v>
      </c>
      <c r="N239" s="19" t="s">
        <v>1256</v>
      </c>
      <c r="O239" s="19" t="s">
        <v>117</v>
      </c>
      <c r="P239" s="19" t="s">
        <v>1198</v>
      </c>
      <c r="Q239" s="19" t="s">
        <v>1241</v>
      </c>
      <c r="R239" s="19" t="s">
        <v>1257</v>
      </c>
      <c r="S239" s="19"/>
      <c r="T239" s="19" t="s">
        <v>54</v>
      </c>
      <c r="U239" s="19" t="s">
        <v>55</v>
      </c>
      <c r="V239" s="19" t="s">
        <v>101</v>
      </c>
      <c r="W239" s="19" t="s">
        <v>138</v>
      </c>
      <c r="X239" s="19"/>
      <c r="Y239" s="19" t="s">
        <v>58</v>
      </c>
      <c r="Z239" s="19" t="s">
        <v>1258</v>
      </c>
      <c r="AA239" s="19">
        <v>2</v>
      </c>
      <c r="AB239" s="19">
        <v>2</v>
      </c>
      <c r="AC239" s="19" t="s">
        <v>60</v>
      </c>
      <c r="AD239" s="19" t="s">
        <v>1198</v>
      </c>
      <c r="AE239" s="19" t="s">
        <v>1202</v>
      </c>
      <c r="AF239" s="19"/>
    </row>
    <row r="240" spans="1:34" customHeight="1" ht="42">
      <c r="A240" s="19">
        <v>232</v>
      </c>
      <c r="B240" s="19" t="s">
        <v>1254</v>
      </c>
      <c r="C240" s="19" t="s">
        <v>1238</v>
      </c>
      <c r="D240" s="19" t="str">
        <f>HYPERLINK("http://www.henontech.com/fieldsafety/harzard/harzard_show.php?rid=3269&amp;url=harzardrecs.php","炉顶旋臂吊电缆管子脱节，电缆外漏氧化电线打火，烧坏电机")</f>
        <v>炉顶旋臂吊电缆管子脱节，电缆外漏氧化电线打火，烧坏电机</v>
      </c>
      <c r="E240" s="19" t="s">
        <v>230</v>
      </c>
      <c r="F240" s="20" t="s">
        <v>42</v>
      </c>
      <c r="G240" s="21" t="s">
        <v>43</v>
      </c>
      <c r="H240" s="19" t="s">
        <v>44</v>
      </c>
      <c r="I240" s="19" t="s">
        <v>67</v>
      </c>
      <c r="J240" s="19" t="s">
        <v>46</v>
      </c>
      <c r="K240" s="19" t="s">
        <v>69</v>
      </c>
      <c r="L240" s="19"/>
      <c r="M240" s="19" t="s">
        <v>117</v>
      </c>
      <c r="N240" s="19" t="s">
        <v>1259</v>
      </c>
      <c r="O240" s="19" t="s">
        <v>117</v>
      </c>
      <c r="P240" s="19" t="s">
        <v>224</v>
      </c>
      <c r="Q240" s="19" t="s">
        <v>1241</v>
      </c>
      <c r="R240" s="19" t="s">
        <v>1236</v>
      </c>
      <c r="S240" s="19" t="s">
        <v>1260</v>
      </c>
      <c r="T240" s="19" t="s">
        <v>100</v>
      </c>
      <c r="U240" s="19" t="s">
        <v>192</v>
      </c>
      <c r="V240" s="19" t="s">
        <v>76</v>
      </c>
      <c r="W240" s="19" t="s">
        <v>77</v>
      </c>
      <c r="X240" s="19"/>
      <c r="Y240" s="19"/>
      <c r="Z240" s="19" t="s">
        <v>1261</v>
      </c>
      <c r="AA240" s="19">
        <v>2</v>
      </c>
      <c r="AB240" s="19">
        <v>2</v>
      </c>
      <c r="AC240" s="19" t="s">
        <v>60</v>
      </c>
      <c r="AD240" s="19" t="s">
        <v>224</v>
      </c>
      <c r="AE240" s="19" t="s">
        <v>1132</v>
      </c>
      <c r="AF240" s="19"/>
    </row>
    <row r="241" spans="1:34">
      <c r="A241" s="19">
        <v>233</v>
      </c>
      <c r="B241" s="19" t="s">
        <v>1107</v>
      </c>
      <c r="C241" s="19" t="s">
        <v>1262</v>
      </c>
      <c r="D241" s="19" t="str">
        <f>HYPERLINK("http://www.henontech.com/fieldsafety/harzard/harzard_show.php?rid=3280&amp;url=harzardrecs.php","粗苯区域煤气取样管道与固定支撑腐蚀断裂，假如化验人员在取煤气样时因煤气管道固定不老造成煤气管道断裂2名化验人员煤气中毒，送医院治疗2天后正常上班")</f>
        <v>粗苯区域煤气取样管道与固定支撑腐蚀断裂，假如化验人员在取煤气样时因煤气管道固定不老造成煤气管道断裂2名化验人员煤气中毒，送医院治疗2天后正常上班</v>
      </c>
      <c r="E241" s="19" t="s">
        <v>1263</v>
      </c>
      <c r="F241" s="20" t="s">
        <v>42</v>
      </c>
      <c r="G241" s="21" t="s">
        <v>43</v>
      </c>
      <c r="H241" s="19" t="s">
        <v>44</v>
      </c>
      <c r="I241" s="19" t="s">
        <v>67</v>
      </c>
      <c r="J241" s="19" t="s">
        <v>401</v>
      </c>
      <c r="K241" s="19" t="s">
        <v>69</v>
      </c>
      <c r="L241" s="19" t="s">
        <v>48</v>
      </c>
      <c r="M241" s="19" t="s">
        <v>70</v>
      </c>
      <c r="N241" s="19" t="s">
        <v>160</v>
      </c>
      <c r="O241" s="19" t="s">
        <v>70</v>
      </c>
      <c r="P241" s="19" t="s">
        <v>72</v>
      </c>
      <c r="Q241" s="19" t="s">
        <v>1264</v>
      </c>
      <c r="R241" s="19" t="s">
        <v>1265</v>
      </c>
      <c r="S241" s="19"/>
      <c r="T241" s="19" t="s">
        <v>54</v>
      </c>
      <c r="U241" s="19" t="s">
        <v>75</v>
      </c>
      <c r="V241" s="19" t="s">
        <v>101</v>
      </c>
      <c r="W241" s="19" t="s">
        <v>77</v>
      </c>
      <c r="X241" s="19"/>
      <c r="Y241" s="19"/>
      <c r="Z241" s="19" t="s">
        <v>1266</v>
      </c>
      <c r="AA241" s="19">
        <v>1</v>
      </c>
      <c r="AB241" s="19">
        <v>0</v>
      </c>
      <c r="AC241" s="19" t="s">
        <v>60</v>
      </c>
      <c r="AD241" s="19" t="s">
        <v>72</v>
      </c>
      <c r="AE241" s="19" t="s">
        <v>1202</v>
      </c>
      <c r="AF241" s="19" t="s">
        <v>1267</v>
      </c>
    </row>
    <row r="242" spans="1:34" customHeight="1" ht="42">
      <c r="A242" s="19">
        <v>234</v>
      </c>
      <c r="B242" s="19" t="s">
        <v>1107</v>
      </c>
      <c r="C242" s="19" t="s">
        <v>482</v>
      </c>
      <c r="D242" s="19" t="str">
        <f>HYPERLINK("http://www.henontech.com/fieldsafety/harzard/harzard_show.php?rid=3282&amp;url=harzardrecs.php","炉顶操作人员操作过程中，由于未发现护栏开焊，不慎坠落地面，头部着地，造成人身伤害！")</f>
        <v>炉顶操作人员操作过程中，由于未发现护栏开焊，不慎坠落地面，头部着地，造成人身伤害！</v>
      </c>
      <c r="E242" s="19" t="s">
        <v>1268</v>
      </c>
      <c r="F242" s="20" t="s">
        <v>42</v>
      </c>
      <c r="G242" s="22" t="s">
        <v>66</v>
      </c>
      <c r="H242" s="19" t="s">
        <v>44</v>
      </c>
      <c r="I242" s="19" t="s">
        <v>788</v>
      </c>
      <c r="J242" s="19" t="s">
        <v>68</v>
      </c>
      <c r="K242" s="19" t="s">
        <v>69</v>
      </c>
      <c r="L242" s="19" t="s">
        <v>48</v>
      </c>
      <c r="M242" s="19" t="s">
        <v>117</v>
      </c>
      <c r="N242" s="19" t="s">
        <v>1269</v>
      </c>
      <c r="O242" s="19" t="s">
        <v>117</v>
      </c>
      <c r="P242" s="19" t="s">
        <v>224</v>
      </c>
      <c r="Q242" s="19" t="s">
        <v>1241</v>
      </c>
      <c r="R242" s="19" t="s">
        <v>1270</v>
      </c>
      <c r="S242" s="19"/>
      <c r="T242" s="19" t="s">
        <v>54</v>
      </c>
      <c r="U242" s="19" t="s">
        <v>121</v>
      </c>
      <c r="V242" s="19" t="s">
        <v>56</v>
      </c>
      <c r="W242" s="19" t="s">
        <v>122</v>
      </c>
      <c r="X242" s="19" t="s">
        <v>123</v>
      </c>
      <c r="Y242" s="19"/>
      <c r="Z242" s="19" t="s">
        <v>1271</v>
      </c>
      <c r="AA242" s="19">
        <v>2</v>
      </c>
      <c r="AB242" s="19">
        <v>2</v>
      </c>
      <c r="AC242" s="19" t="s">
        <v>60</v>
      </c>
      <c r="AD242" s="19" t="s">
        <v>224</v>
      </c>
      <c r="AE242" s="19" t="s">
        <v>1074</v>
      </c>
      <c r="AF242" s="19"/>
    </row>
    <row r="243" spans="1:34" customHeight="1" ht="42">
      <c r="A243" s="19">
        <v>235</v>
      </c>
      <c r="B243" s="19" t="s">
        <v>1168</v>
      </c>
      <c r="C243" s="19" t="s">
        <v>1250</v>
      </c>
      <c r="D243" s="19" t="str">
        <f>HYPERLINK("http://www.henontech.com/fieldsafety/harzard/harzard_show.php?rid=3283&amp;url=harzardrecs.php","机侧除尘提升机爬梯腐蚀严重，操作工巡检时踏空坠落，造成脚踝扭伤，就医治疗。")</f>
        <v>机侧除尘提升机爬梯腐蚀严重，操作工巡检时踏空坠落，造成脚踝扭伤，就医治疗。</v>
      </c>
      <c r="E243" s="19" t="s">
        <v>1272</v>
      </c>
      <c r="F243" s="20" t="s">
        <v>42</v>
      </c>
      <c r="G243" s="21" t="s">
        <v>43</v>
      </c>
      <c r="H243" s="19" t="s">
        <v>44</v>
      </c>
      <c r="I243" s="19" t="s">
        <v>83</v>
      </c>
      <c r="J243" s="19" t="s">
        <v>46</v>
      </c>
      <c r="K243" s="19" t="s">
        <v>145</v>
      </c>
      <c r="L243" s="19" t="s">
        <v>573</v>
      </c>
      <c r="M243" s="19" t="s">
        <v>117</v>
      </c>
      <c r="N243" s="19" t="s">
        <v>1273</v>
      </c>
      <c r="O243" s="19" t="s">
        <v>117</v>
      </c>
      <c r="P243" s="19" t="s">
        <v>224</v>
      </c>
      <c r="Q243" s="19" t="s">
        <v>1241</v>
      </c>
      <c r="R243" s="19" t="s">
        <v>1274</v>
      </c>
      <c r="S243" s="19"/>
      <c r="T243" s="19" t="s">
        <v>54</v>
      </c>
      <c r="U243" s="19" t="s">
        <v>55</v>
      </c>
      <c r="V243" s="19" t="s">
        <v>56</v>
      </c>
      <c r="W243" s="19" t="s">
        <v>57</v>
      </c>
      <c r="X243" s="19" t="s">
        <v>123</v>
      </c>
      <c r="Y243" s="19"/>
      <c r="Z243" s="19" t="s">
        <v>1275</v>
      </c>
      <c r="AA243" s="19">
        <v>2</v>
      </c>
      <c r="AB243" s="19">
        <v>2</v>
      </c>
      <c r="AC243" s="19" t="s">
        <v>60</v>
      </c>
      <c r="AD243" s="19" t="s">
        <v>224</v>
      </c>
      <c r="AE243" s="19" t="s">
        <v>1080</v>
      </c>
      <c r="AF243" s="19"/>
    </row>
    <row r="244" spans="1:34" customHeight="1" ht="42">
      <c r="A244" s="19">
        <v>236</v>
      </c>
      <c r="B244" s="19" t="s">
        <v>1107</v>
      </c>
      <c r="C244" s="19" t="s">
        <v>1250</v>
      </c>
      <c r="D244" s="19" t="str">
        <f>HYPERLINK("http://www.henontech.com/fieldsafety/harzard/harzard_show.php?rid=3284&amp;url=harzardrecs.php","施工人员安全带低挂高用，如果脚底打滑踏空，坠落至滑轴线上触电昏迷不醒，送医抢救。")</f>
        <v>施工人员安全带低挂高用，如果脚底打滑踏空，坠落至滑轴线上触电昏迷不醒，送医抢救。</v>
      </c>
      <c r="E244" s="19" t="s">
        <v>1276</v>
      </c>
      <c r="F244" s="20" t="s">
        <v>42</v>
      </c>
      <c r="G244" s="23" t="s">
        <v>231</v>
      </c>
      <c r="H244" s="19" t="s">
        <v>44</v>
      </c>
      <c r="I244" s="19" t="s">
        <v>83</v>
      </c>
      <c r="J244" s="19" t="s">
        <v>46</v>
      </c>
      <c r="K244" s="19" t="s">
        <v>69</v>
      </c>
      <c r="L244" s="19" t="s">
        <v>167</v>
      </c>
      <c r="M244" s="19" t="s">
        <v>117</v>
      </c>
      <c r="N244" s="19" t="s">
        <v>1070</v>
      </c>
      <c r="O244" s="19" t="s">
        <v>117</v>
      </c>
      <c r="P244" s="19" t="s">
        <v>287</v>
      </c>
      <c r="Q244" s="19" t="s">
        <v>1241</v>
      </c>
      <c r="R244" s="19" t="s">
        <v>1072</v>
      </c>
      <c r="S244" s="19"/>
      <c r="T244" s="19" t="s">
        <v>54</v>
      </c>
      <c r="U244" s="19" t="s">
        <v>121</v>
      </c>
      <c r="V244" s="19" t="s">
        <v>56</v>
      </c>
      <c r="W244" s="19" t="s">
        <v>122</v>
      </c>
      <c r="X244" s="19" t="s">
        <v>123</v>
      </c>
      <c r="Y244" s="19"/>
      <c r="Z244" s="19" t="s">
        <v>1277</v>
      </c>
      <c r="AA244" s="19">
        <v>2</v>
      </c>
      <c r="AB244" s="19">
        <v>2</v>
      </c>
      <c r="AC244" s="19" t="s">
        <v>60</v>
      </c>
      <c r="AD244" s="19" t="s">
        <v>287</v>
      </c>
      <c r="AE244" s="19" t="s">
        <v>1074</v>
      </c>
      <c r="AF244" s="19"/>
    </row>
    <row r="245" spans="1:34" customHeight="1" ht="42">
      <c r="A245" s="19">
        <v>237</v>
      </c>
      <c r="B245" s="19" t="s">
        <v>1107</v>
      </c>
      <c r="C245" s="19" t="s">
        <v>1250</v>
      </c>
      <c r="D245" s="19" t="str">
        <f>HYPERLINK("http://www.henontech.com/fieldsafety/harzard/harzard_show.php?rid=3285&amp;url=harzardrecs.php","烟囱西端，夜间操作人员打扫卫生时，由于视线不好未发现铁架被绊倒，造成小腿受伤，送医救治！")</f>
        <v>烟囱西端，夜间操作人员打扫卫生时，由于视线不好未发现铁架被绊倒，造成小腿受伤，送医救治！</v>
      </c>
      <c r="E245" s="19" t="s">
        <v>1278</v>
      </c>
      <c r="F245" s="20" t="s">
        <v>42</v>
      </c>
      <c r="G245" s="21" t="s">
        <v>43</v>
      </c>
      <c r="H245" s="19" t="s">
        <v>44</v>
      </c>
      <c r="I245" s="19" t="s">
        <v>83</v>
      </c>
      <c r="J245" s="19" t="s">
        <v>334</v>
      </c>
      <c r="K245" s="19" t="s">
        <v>69</v>
      </c>
      <c r="L245" s="19" t="s">
        <v>167</v>
      </c>
      <c r="M245" s="19" t="s">
        <v>117</v>
      </c>
      <c r="N245" s="19" t="s">
        <v>1269</v>
      </c>
      <c r="O245" s="19" t="s">
        <v>117</v>
      </c>
      <c r="P245" s="19" t="s">
        <v>287</v>
      </c>
      <c r="Q245" s="19" t="s">
        <v>1241</v>
      </c>
      <c r="R245" s="19" t="s">
        <v>1279</v>
      </c>
      <c r="S245" s="19"/>
      <c r="T245" s="19" t="s">
        <v>54</v>
      </c>
      <c r="U245" s="19" t="s">
        <v>55</v>
      </c>
      <c r="V245" s="19" t="s">
        <v>56</v>
      </c>
      <c r="W245" s="19" t="s">
        <v>57</v>
      </c>
      <c r="X245" s="19" t="s">
        <v>123</v>
      </c>
      <c r="Y245" s="19"/>
      <c r="Z245" s="19" t="s">
        <v>1280</v>
      </c>
      <c r="AA245" s="19">
        <v>2</v>
      </c>
      <c r="AB245" s="19">
        <v>2</v>
      </c>
      <c r="AC245" s="19" t="s">
        <v>60</v>
      </c>
      <c r="AD245" s="19" t="s">
        <v>287</v>
      </c>
      <c r="AE245" s="19" t="s">
        <v>1074</v>
      </c>
      <c r="AF245" s="19"/>
    </row>
    <row r="246" spans="1:34" customHeight="1" ht="42">
      <c r="A246" s="19">
        <v>238</v>
      </c>
      <c r="B246" s="19" t="s">
        <v>1281</v>
      </c>
      <c r="C246" s="19" t="s">
        <v>1250</v>
      </c>
      <c r="D246" s="19" t="str">
        <f>HYPERLINK("http://www.henontech.com/fieldsafety/harzard/harzard_show.php?rid=3289&amp;url=harzardrecs.php","焦炉机侧生产现场备件摆放杂乱，操作工清理卫生时不慎拌倒磕伤头部，造成伤害。")</f>
        <v>焦炉机侧生产现场备件摆放杂乱，操作工清理卫生时不慎拌倒磕伤头部，造成伤害。</v>
      </c>
      <c r="E246" s="19" t="s">
        <v>1282</v>
      </c>
      <c r="F246" s="20" t="s">
        <v>42</v>
      </c>
      <c r="G246" s="21" t="s">
        <v>43</v>
      </c>
      <c r="H246" s="19" t="s">
        <v>44</v>
      </c>
      <c r="I246" s="19" t="s">
        <v>45</v>
      </c>
      <c r="J246" s="19" t="s">
        <v>46</v>
      </c>
      <c r="K246" s="19" t="s">
        <v>69</v>
      </c>
      <c r="L246" s="19" t="s">
        <v>573</v>
      </c>
      <c r="M246" s="19" t="s">
        <v>117</v>
      </c>
      <c r="N246" s="19" t="s">
        <v>1283</v>
      </c>
      <c r="O246" s="19" t="s">
        <v>117</v>
      </c>
      <c r="P246" s="19" t="s">
        <v>287</v>
      </c>
      <c r="Q246" s="19" t="s">
        <v>1241</v>
      </c>
      <c r="R246" s="19" t="s">
        <v>1284</v>
      </c>
      <c r="S246" s="19"/>
      <c r="T246" s="19" t="s">
        <v>54</v>
      </c>
      <c r="U246" s="19" t="s">
        <v>55</v>
      </c>
      <c r="V246" s="19" t="s">
        <v>56</v>
      </c>
      <c r="W246" s="19" t="s">
        <v>57</v>
      </c>
      <c r="X246" s="19" t="s">
        <v>1285</v>
      </c>
      <c r="Y246" s="19"/>
      <c r="Z246" s="19" t="s">
        <v>1286</v>
      </c>
      <c r="AA246" s="19">
        <v>2</v>
      </c>
      <c r="AB246" s="19">
        <v>2</v>
      </c>
      <c r="AC246" s="19" t="s">
        <v>60</v>
      </c>
      <c r="AD246" s="19" t="s">
        <v>287</v>
      </c>
      <c r="AE246" s="19" t="s">
        <v>1074</v>
      </c>
      <c r="AF246" s="19"/>
    </row>
    <row r="247" spans="1:34" customHeight="1" ht="42">
      <c r="A247" s="19">
        <v>239</v>
      </c>
      <c r="B247" s="19" t="s">
        <v>1281</v>
      </c>
      <c r="C247" s="19" t="s">
        <v>1250</v>
      </c>
      <c r="D247" s="19" t="str">
        <f>HYPERLINK("http://www.henontech.com/fieldsafety/harzard/harzard_show.php?rid=3290&amp;url=harzardrecs.php","操作工更换除尘布袋时，由于护栏开焊不慎坠落高约五米的车辆平台，造成伤害")</f>
        <v>操作工更换除尘布袋时，由于护栏开焊不慎坠落高约五米的车辆平台，造成伤害</v>
      </c>
      <c r="E247" s="19" t="s">
        <v>1287</v>
      </c>
      <c r="F247" s="20" t="s">
        <v>42</v>
      </c>
      <c r="G247" s="22" t="s">
        <v>66</v>
      </c>
      <c r="H247" s="19" t="s">
        <v>44</v>
      </c>
      <c r="I247" s="19" t="s">
        <v>45</v>
      </c>
      <c r="J247" s="19" t="s">
        <v>46</v>
      </c>
      <c r="K247" s="19" t="s">
        <v>69</v>
      </c>
      <c r="L247" s="19" t="s">
        <v>573</v>
      </c>
      <c r="M247" s="19" t="s">
        <v>117</v>
      </c>
      <c r="N247" s="19" t="s">
        <v>1283</v>
      </c>
      <c r="O247" s="19" t="s">
        <v>117</v>
      </c>
      <c r="P247" s="19" t="s">
        <v>224</v>
      </c>
      <c r="Q247" s="19" t="s">
        <v>1241</v>
      </c>
      <c r="R247" s="19" t="s">
        <v>1246</v>
      </c>
      <c r="S247" s="19"/>
      <c r="T247" s="19" t="s">
        <v>54</v>
      </c>
      <c r="U247" s="19" t="s">
        <v>55</v>
      </c>
      <c r="V247" s="19" t="s">
        <v>271</v>
      </c>
      <c r="W247" s="19" t="s">
        <v>122</v>
      </c>
      <c r="X247" s="19" t="s">
        <v>58</v>
      </c>
      <c r="Y247" s="19"/>
      <c r="Z247" s="19" t="s">
        <v>1288</v>
      </c>
      <c r="AA247" s="19">
        <v>2</v>
      </c>
      <c r="AB247" s="19">
        <v>2</v>
      </c>
      <c r="AC247" s="19" t="s">
        <v>60</v>
      </c>
      <c r="AD247" s="19" t="s">
        <v>224</v>
      </c>
      <c r="AE247" s="19" t="s">
        <v>1074</v>
      </c>
      <c r="AF247" s="19"/>
    </row>
    <row r="248" spans="1:34" customHeight="1" ht="42">
      <c r="A248" s="19">
        <v>240</v>
      </c>
      <c r="B248" s="19" t="s">
        <v>1281</v>
      </c>
      <c r="C248" s="19" t="s">
        <v>1250</v>
      </c>
      <c r="D248" s="19" t="str">
        <f>HYPERLINK("http://www.henontech.com/fieldsafety/harzard/harzard_show.php?rid=3291&amp;url=harzardrecs.php","按装推焦车车载除尘场地货物杂乱，无明显警示标志，一名职工从此处行走时被杂物绊倒摔在铁件上，至面部等多处受伤。")</f>
        <v>按装推焦车车载除尘场地货物杂乱，无明显警示标志，一名职工从此处行走时被杂物绊倒摔在铁件上，至面部等多处受伤。</v>
      </c>
      <c r="E248" s="19" t="s">
        <v>1289</v>
      </c>
      <c r="F248" s="20" t="s">
        <v>42</v>
      </c>
      <c r="G248" s="21" t="s">
        <v>43</v>
      </c>
      <c r="H248" s="19" t="s">
        <v>44</v>
      </c>
      <c r="I248" s="19" t="s">
        <v>83</v>
      </c>
      <c r="J248" s="19" t="s">
        <v>68</v>
      </c>
      <c r="K248" s="19" t="s">
        <v>69</v>
      </c>
      <c r="L248" s="19" t="s">
        <v>280</v>
      </c>
      <c r="M248" s="19" t="s">
        <v>117</v>
      </c>
      <c r="N248" s="19" t="s">
        <v>1290</v>
      </c>
      <c r="O248" s="19" t="s">
        <v>117</v>
      </c>
      <c r="P248" s="19" t="s">
        <v>287</v>
      </c>
      <c r="Q248" s="19" t="s">
        <v>1241</v>
      </c>
      <c r="R248" s="19" t="s">
        <v>1291</v>
      </c>
      <c r="S248" s="19"/>
      <c r="T248" s="19" t="s">
        <v>54</v>
      </c>
      <c r="U248" s="19" t="s">
        <v>55</v>
      </c>
      <c r="V248" s="19" t="s">
        <v>56</v>
      </c>
      <c r="W248" s="19" t="s">
        <v>57</v>
      </c>
      <c r="X248" s="19" t="s">
        <v>1285</v>
      </c>
      <c r="Y248" s="19"/>
      <c r="Z248" s="19" t="s">
        <v>1292</v>
      </c>
      <c r="AA248" s="19">
        <v>2</v>
      </c>
      <c r="AB248" s="19">
        <v>2</v>
      </c>
      <c r="AC248" s="19" t="s">
        <v>60</v>
      </c>
      <c r="AD248" s="19" t="s">
        <v>287</v>
      </c>
      <c r="AE248" s="19" t="s">
        <v>1074</v>
      </c>
      <c r="AF248" s="19"/>
    </row>
    <row r="249" spans="1:34">
      <c r="A249" s="19">
        <v>241</v>
      </c>
      <c r="B249" s="19" t="s">
        <v>1293</v>
      </c>
      <c r="C249" s="19" t="s">
        <v>549</v>
      </c>
      <c r="D249" s="19" t="str">
        <f>HYPERLINK("http://www.henontech.com/fieldsafety/harzard/harzard_show.php?rid=3306&amp;url=harzardrecs.php","南风机2#初冷器检修时，一名外来施工人员安全带使用不规范存在低挂高用，如果检修过程中不慎脚下踩空掉落，安全带起到保护作用，但因安全带低挂高用造成小腿骨折，精神受到惊吓，送医院治疗包扎后在家休养3个月")</f>
        <v>南风机2#初冷器检修时，一名外来施工人员安全带使用不规范存在低挂高用，如果检修过程中不慎脚下踩空掉落，安全带起到保护作用，但因安全带低挂高用造成小腿骨折，精神受到惊吓，送医院治疗包扎后在家休养3个月</v>
      </c>
      <c r="E249" s="19" t="s">
        <v>1294</v>
      </c>
      <c r="F249" s="20" t="s">
        <v>42</v>
      </c>
      <c r="G249" s="21" t="s">
        <v>43</v>
      </c>
      <c r="H249" s="19" t="s">
        <v>44</v>
      </c>
      <c r="I249" s="19"/>
      <c r="J249" s="19" t="s">
        <v>68</v>
      </c>
      <c r="K249" s="19" t="s">
        <v>69</v>
      </c>
      <c r="L249" s="19"/>
      <c r="M249" s="19" t="s">
        <v>70</v>
      </c>
      <c r="N249" s="19" t="s">
        <v>1295</v>
      </c>
      <c r="O249" s="19" t="s">
        <v>70</v>
      </c>
      <c r="P249" s="19" t="s">
        <v>72</v>
      </c>
      <c r="Q249" s="19" t="s">
        <v>1296</v>
      </c>
      <c r="R249" s="19" t="s">
        <v>1297</v>
      </c>
      <c r="S249" s="19"/>
      <c r="T249" s="19" t="s">
        <v>54</v>
      </c>
      <c r="U249" s="19" t="s">
        <v>55</v>
      </c>
      <c r="V249" s="19" t="s">
        <v>101</v>
      </c>
      <c r="W249" s="19" t="s">
        <v>138</v>
      </c>
      <c r="X249" s="19"/>
      <c r="Y249" s="19"/>
      <c r="Z249" s="19" t="s">
        <v>1298</v>
      </c>
      <c r="AA249" s="19">
        <v>1</v>
      </c>
      <c r="AB249" s="19">
        <v>1</v>
      </c>
      <c r="AC249" s="19" t="s">
        <v>60</v>
      </c>
      <c r="AD249" s="19" t="s">
        <v>72</v>
      </c>
      <c r="AE249" s="19" t="s">
        <v>1080</v>
      </c>
      <c r="AF249" s="19"/>
    </row>
    <row r="250" spans="1:34">
      <c r="A250" s="19">
        <v>242</v>
      </c>
      <c r="B250" s="19" t="s">
        <v>1299</v>
      </c>
      <c r="C250" s="19" t="s">
        <v>221</v>
      </c>
      <c r="D250" s="19" t="str">
        <f>HYPERLINK("http://www.henontech.com/fieldsafety/harzard/harzard_show.php?rid=3324&amp;url=harzardrecs.php","一巡检人员巡检至5号减温减压一层平台时，由于护栏底部腐蚀断裂，巡检人员扶空，导致从3米高平台坠落至地面，送医治疗。")</f>
        <v>一巡检人员巡检至5号减温减压一层平台时，由于护栏底部腐蚀断裂，巡检人员扶空，导致从3米高平台坠落至地面，送医治疗。</v>
      </c>
      <c r="E250" s="19" t="s">
        <v>1300</v>
      </c>
      <c r="F250" s="20" t="s">
        <v>42</v>
      </c>
      <c r="G250" s="21" t="s">
        <v>43</v>
      </c>
      <c r="H250" s="19" t="s">
        <v>44</v>
      </c>
      <c r="I250" s="19" t="s">
        <v>45</v>
      </c>
      <c r="J250" s="19" t="s">
        <v>46</v>
      </c>
      <c r="K250" s="19" t="s">
        <v>209</v>
      </c>
      <c r="L250" s="19" t="s">
        <v>48</v>
      </c>
      <c r="M250" s="19" t="s">
        <v>117</v>
      </c>
      <c r="N250" s="19" t="s">
        <v>223</v>
      </c>
      <c r="O250" s="19" t="s">
        <v>117</v>
      </c>
      <c r="P250" s="19" t="s">
        <v>224</v>
      </c>
      <c r="Q250" s="19" t="s">
        <v>1301</v>
      </c>
      <c r="R250" s="19" t="s">
        <v>1302</v>
      </c>
      <c r="S250" s="19" t="s">
        <v>1303</v>
      </c>
      <c r="T250" s="19" t="s">
        <v>54</v>
      </c>
      <c r="U250" s="19" t="s">
        <v>55</v>
      </c>
      <c r="V250" s="19" t="s">
        <v>271</v>
      </c>
      <c r="W250" s="19" t="s">
        <v>122</v>
      </c>
      <c r="X250" s="19" t="s">
        <v>58</v>
      </c>
      <c r="Y250" s="19"/>
      <c r="Z250" s="19" t="s">
        <v>1304</v>
      </c>
      <c r="AA250" s="19">
        <v>1</v>
      </c>
      <c r="AB250" s="19">
        <v>1</v>
      </c>
      <c r="AC250" s="19" t="s">
        <v>60</v>
      </c>
      <c r="AD250" s="19" t="s">
        <v>224</v>
      </c>
      <c r="AE250" s="19" t="s">
        <v>1074</v>
      </c>
      <c r="AF250" s="19"/>
    </row>
    <row r="251" spans="1:34">
      <c r="A251" s="19">
        <v>243</v>
      </c>
      <c r="B251" s="19" t="s">
        <v>1305</v>
      </c>
      <c r="C251" s="19" t="s">
        <v>221</v>
      </c>
      <c r="D251" s="19" t="str">
        <f>HYPERLINK("http://www.henontech.com/fieldsafety/harzard/harzard_show.php?rid=3329&amp;url=harzardrecs.php","一人员行至二楼爬梯时，由于护栏开焊断裂，巡检人员扶空左腿失去重心滑倒跌至二楼平台，送医治疗。")</f>
        <v>一人员行至二楼爬梯时，由于护栏开焊断裂，巡检人员扶空左腿失去重心滑倒跌至二楼平台，送医治疗。</v>
      </c>
      <c r="E251" s="19" t="s">
        <v>1306</v>
      </c>
      <c r="F251" s="20" t="s">
        <v>42</v>
      </c>
      <c r="G251" s="21" t="s">
        <v>43</v>
      </c>
      <c r="H251" s="19" t="s">
        <v>44</v>
      </c>
      <c r="I251" s="19" t="s">
        <v>45</v>
      </c>
      <c r="J251" s="19" t="s">
        <v>68</v>
      </c>
      <c r="K251" s="19"/>
      <c r="L251" s="19"/>
      <c r="M251" s="19" t="s">
        <v>117</v>
      </c>
      <c r="N251" s="19" t="s">
        <v>1127</v>
      </c>
      <c r="O251" s="19" t="s">
        <v>117</v>
      </c>
      <c r="P251" s="19" t="s">
        <v>224</v>
      </c>
      <c r="Q251" s="19" t="s">
        <v>1307</v>
      </c>
      <c r="R251" s="19" t="s">
        <v>1308</v>
      </c>
      <c r="S251" s="19" t="s">
        <v>1309</v>
      </c>
      <c r="T251" s="19" t="s">
        <v>54</v>
      </c>
      <c r="U251" s="19" t="s">
        <v>75</v>
      </c>
      <c r="V251" s="19" t="s">
        <v>56</v>
      </c>
      <c r="W251" s="19" t="s">
        <v>138</v>
      </c>
      <c r="X251" s="19" t="s">
        <v>58</v>
      </c>
      <c r="Y251" s="19"/>
      <c r="Z251" s="19" t="s">
        <v>1310</v>
      </c>
      <c r="AA251" s="19">
        <v>1</v>
      </c>
      <c r="AB251" s="19">
        <v>1</v>
      </c>
      <c r="AC251" s="19" t="s">
        <v>60</v>
      </c>
      <c r="AD251" s="19" t="s">
        <v>224</v>
      </c>
      <c r="AE251" s="19" t="s">
        <v>1074</v>
      </c>
      <c r="AF251" s="19"/>
    </row>
    <row r="252" spans="1:34">
      <c r="A252" s="19">
        <v>244</v>
      </c>
      <c r="B252" s="19" t="s">
        <v>1305</v>
      </c>
      <c r="C252" s="19" t="s">
        <v>1211</v>
      </c>
      <c r="D252" s="19" t="str">
        <f>HYPERLINK("http://www.henontech.com/fieldsafety/harzard/harzard_show.php?rid=3331&amp;url=harzardrecs.php","二级反渗透进水管管道井口未封盖，一员工清扫卫生时未注意脚下，不慎踩空坠落井口，导致右侧小腿骨折，送医治疗一个月，休养三个月")</f>
        <v>二级反渗透进水管管道井口未封盖，一员工清扫卫生时未注意脚下，不慎踩空坠落井口，导致右侧小腿骨折，送医治疗一个月，休养三个月</v>
      </c>
      <c r="E252" s="19" t="s">
        <v>1311</v>
      </c>
      <c r="F252" s="20" t="s">
        <v>42</v>
      </c>
      <c r="G252" s="21" t="s">
        <v>43</v>
      </c>
      <c r="H252" s="19" t="s">
        <v>44</v>
      </c>
      <c r="I252" s="19"/>
      <c r="J252" s="19" t="s">
        <v>68</v>
      </c>
      <c r="K252" s="19" t="s">
        <v>145</v>
      </c>
      <c r="L252" s="19" t="s">
        <v>48</v>
      </c>
      <c r="M252" s="19" t="s">
        <v>117</v>
      </c>
      <c r="N252" s="19" t="s">
        <v>1135</v>
      </c>
      <c r="O252" s="19" t="s">
        <v>117</v>
      </c>
      <c r="P252" s="19" t="s">
        <v>876</v>
      </c>
      <c r="Q252" s="19" t="s">
        <v>1296</v>
      </c>
      <c r="R252" s="19" t="s">
        <v>1312</v>
      </c>
      <c r="S252" s="19" t="s">
        <v>1313</v>
      </c>
      <c r="T252" s="19" t="s">
        <v>54</v>
      </c>
      <c r="U252" s="19" t="s">
        <v>55</v>
      </c>
      <c r="V252" s="19" t="s">
        <v>56</v>
      </c>
      <c r="W252" s="19" t="s">
        <v>57</v>
      </c>
      <c r="X252" s="19" t="s">
        <v>58</v>
      </c>
      <c r="Y252" s="19"/>
      <c r="Z252" s="19" t="s">
        <v>1314</v>
      </c>
      <c r="AA252" s="19">
        <v>1</v>
      </c>
      <c r="AB252" s="19">
        <v>1</v>
      </c>
      <c r="AC252" s="19" t="s">
        <v>60</v>
      </c>
      <c r="AD252" s="19" t="s">
        <v>876</v>
      </c>
      <c r="AE252" s="19" t="s">
        <v>1139</v>
      </c>
      <c r="AF252" s="19" t="s">
        <v>1315</v>
      </c>
    </row>
    <row r="253" spans="1:34">
      <c r="A253" s="19">
        <v>245</v>
      </c>
      <c r="B253" s="19" t="s">
        <v>1119</v>
      </c>
      <c r="C253" s="19" t="s">
        <v>1316</v>
      </c>
      <c r="D253" s="19" t="str">
        <f>HYPERLINK("http://www.henontech.com/fieldsafety/harzard/harzard_show.php?rid=3342&amp;url=harzardrecs.php","一次除尘顶部西侧电线穿线管高于平台20公分，若夜间巡检人员巡检时被绊倒，右膝盖着地造成轻微擦伤，送医务室消毒后继续工作")</f>
        <v>一次除尘顶部西侧电线穿线管高于平台20公分，若夜间巡检人员巡检时被绊倒，右膝盖着地造成轻微擦伤，送医务室消毒后继续工作</v>
      </c>
      <c r="E253" s="19" t="s">
        <v>1317</v>
      </c>
      <c r="F253" s="20" t="s">
        <v>42</v>
      </c>
      <c r="G253" s="21" t="s">
        <v>43</v>
      </c>
      <c r="H253" s="19" t="s">
        <v>44</v>
      </c>
      <c r="I253" s="19" t="s">
        <v>67</v>
      </c>
      <c r="J253" s="19" t="s">
        <v>46</v>
      </c>
      <c r="K253" s="19" t="s">
        <v>69</v>
      </c>
      <c r="L253" s="19" t="s">
        <v>48</v>
      </c>
      <c r="M253" s="19" t="s">
        <v>117</v>
      </c>
      <c r="N253" s="19" t="s">
        <v>1318</v>
      </c>
      <c r="O253" s="19" t="s">
        <v>117</v>
      </c>
      <c r="P253" s="19" t="s">
        <v>876</v>
      </c>
      <c r="Q253" s="19" t="s">
        <v>1296</v>
      </c>
      <c r="R253" s="19" t="s">
        <v>1319</v>
      </c>
      <c r="S253" s="19" t="s">
        <v>1320</v>
      </c>
      <c r="T253" s="19" t="s">
        <v>54</v>
      </c>
      <c r="U253" s="19" t="s">
        <v>75</v>
      </c>
      <c r="V253" s="19" t="s">
        <v>56</v>
      </c>
      <c r="W253" s="19" t="s">
        <v>138</v>
      </c>
      <c r="X253" s="19" t="s">
        <v>123</v>
      </c>
      <c r="Y253" s="19"/>
      <c r="Z253" s="19" t="s">
        <v>1321</v>
      </c>
      <c r="AA253" s="19">
        <v>1</v>
      </c>
      <c r="AB253" s="19">
        <v>1</v>
      </c>
      <c r="AC253" s="19" t="s">
        <v>60</v>
      </c>
      <c r="AD253" s="19" t="s">
        <v>876</v>
      </c>
      <c r="AE253" s="19" t="s">
        <v>1322</v>
      </c>
      <c r="AF253" s="19" t="s">
        <v>1323</v>
      </c>
    </row>
    <row r="254" spans="1:34">
      <c r="A254" s="19">
        <v>246</v>
      </c>
      <c r="B254" s="19" t="s">
        <v>1119</v>
      </c>
      <c r="C254" s="19" t="s">
        <v>1118</v>
      </c>
      <c r="D254" s="19" t="str">
        <f>HYPERLINK("http://www.henontech.com/fieldsafety/harzard/harzard_show.php?rid=3343&amp;url=harzardrecs.php","一次除尘放灰操作盘盖子锈蚀掉落，雨天操作盘无盖进水，操作盘电压380伏，操作工操作开关时，造成触电身亡。")</f>
        <v>一次除尘放灰操作盘盖子锈蚀掉落，雨天操作盘无盖进水，操作盘电压380伏，操作工操作开关时，造成触电身亡。</v>
      </c>
      <c r="E254" s="19" t="s">
        <v>1324</v>
      </c>
      <c r="F254" s="20" t="s">
        <v>42</v>
      </c>
      <c r="G254" s="21" t="s">
        <v>43</v>
      </c>
      <c r="H254" s="19" t="s">
        <v>44</v>
      </c>
      <c r="I254" s="19" t="s">
        <v>67</v>
      </c>
      <c r="J254" s="19" t="s">
        <v>46</v>
      </c>
      <c r="K254" s="19" t="s">
        <v>69</v>
      </c>
      <c r="L254" s="19" t="s">
        <v>48</v>
      </c>
      <c r="M254" s="19" t="s">
        <v>117</v>
      </c>
      <c r="N254" s="19" t="s">
        <v>1325</v>
      </c>
      <c r="O254" s="19" t="s">
        <v>117</v>
      </c>
      <c r="P254" s="19" t="s">
        <v>876</v>
      </c>
      <c r="Q254" s="19" t="s">
        <v>1296</v>
      </c>
      <c r="R254" s="19" t="s">
        <v>451</v>
      </c>
      <c r="S254" s="19" t="s">
        <v>1326</v>
      </c>
      <c r="T254" s="19" t="s">
        <v>54</v>
      </c>
      <c r="U254" s="19" t="s">
        <v>121</v>
      </c>
      <c r="V254" s="19" t="s">
        <v>56</v>
      </c>
      <c r="W254" s="19" t="s">
        <v>122</v>
      </c>
      <c r="X254" s="19" t="s">
        <v>58</v>
      </c>
      <c r="Y254" s="19"/>
      <c r="Z254" s="19" t="s">
        <v>1327</v>
      </c>
      <c r="AA254" s="19">
        <v>1</v>
      </c>
      <c r="AB254" s="19">
        <v>1</v>
      </c>
      <c r="AC254" s="19" t="s">
        <v>60</v>
      </c>
      <c r="AD254" s="19" t="s">
        <v>876</v>
      </c>
      <c r="AE254" s="19" t="s">
        <v>1123</v>
      </c>
      <c r="AF254" s="19" t="s">
        <v>1328</v>
      </c>
    </row>
    <row r="255" spans="1:34">
      <c r="A255" s="19">
        <v>247</v>
      </c>
      <c r="B255" s="19" t="s">
        <v>1329</v>
      </c>
      <c r="C255" s="19" t="s">
        <v>1330</v>
      </c>
      <c r="D255" s="19" t="str">
        <f>HYPERLINK("http://www.henontech.com/fieldsafety/harzard/harzard_show.php?rid=3348&amp;url=harzardrecs.php","东二钎子，一操作工途径时被钎子绊倒，致右腿轻微擦伤，送医包扎处理，回家休养三天，损工三天")</f>
        <v>东二钎子，一操作工途径时被钎子绊倒，致右腿轻微擦伤，送医包扎处理，回家休养三天，损工三天</v>
      </c>
      <c r="E255" s="19" t="s">
        <v>1331</v>
      </c>
      <c r="F255" s="24" t="s">
        <v>387</v>
      </c>
      <c r="G255" s="21" t="s">
        <v>43</v>
      </c>
      <c r="H255" s="19" t="s">
        <v>44</v>
      </c>
      <c r="I255" s="19" t="s">
        <v>83</v>
      </c>
      <c r="J255" s="19" t="s">
        <v>46</v>
      </c>
      <c r="K255" s="19" t="s">
        <v>145</v>
      </c>
      <c r="L255" s="19"/>
      <c r="M255" s="19" t="s">
        <v>285</v>
      </c>
      <c r="N255" s="19" t="s">
        <v>1167</v>
      </c>
      <c r="O255" s="19"/>
      <c r="P255" s="19"/>
      <c r="Q255" s="19"/>
      <c r="R255" s="19" t="s">
        <v>1332</v>
      </c>
      <c r="S255" s="19" t="s">
        <v>1333</v>
      </c>
      <c r="T255" s="19" t="s">
        <v>54</v>
      </c>
      <c r="U255" s="19" t="s">
        <v>55</v>
      </c>
      <c r="V255" s="19" t="s">
        <v>56</v>
      </c>
      <c r="W255" s="19" t="s">
        <v>57</v>
      </c>
      <c r="X255" s="19"/>
      <c r="Y255" s="19"/>
      <c r="Z255" s="19"/>
      <c r="AA255" s="19">
        <v>0</v>
      </c>
      <c r="AB255" s="19"/>
      <c r="AC255" s="19" t="s">
        <v>392</v>
      </c>
      <c r="AD255" s="19"/>
      <c r="AE255" s="19"/>
      <c r="AF255" s="19"/>
    </row>
    <row r="256" spans="1:34" customHeight="1" ht="42">
      <c r="A256" s="19">
        <v>248</v>
      </c>
      <c r="B256" s="19" t="s">
        <v>1329</v>
      </c>
      <c r="C256" s="19" t="s">
        <v>1330</v>
      </c>
      <c r="D256" s="19" t="str">
        <f>HYPERLINK("http://www.henontech.com/fieldsafety/harzard/harzard_show.php?rid=3361&amp;url=harzardrecs.php","东二工具乱摆乱放，有一操作工在巡检被纤子绊倒，造成人身伤害。")</f>
        <v>东二工具乱摆乱放，有一操作工在巡检被纤子绊倒，造成人身伤害。</v>
      </c>
      <c r="E256" s="19" t="s">
        <v>1334</v>
      </c>
      <c r="F256" s="20" t="s">
        <v>42</v>
      </c>
      <c r="G256" s="21" t="s">
        <v>43</v>
      </c>
      <c r="H256" s="19" t="s">
        <v>44</v>
      </c>
      <c r="I256" s="19"/>
      <c r="J256" s="19" t="s">
        <v>46</v>
      </c>
      <c r="K256" s="19"/>
      <c r="L256" s="19"/>
      <c r="M256" s="19" t="s">
        <v>285</v>
      </c>
      <c r="N256" s="19" t="s">
        <v>1167</v>
      </c>
      <c r="O256" s="19" t="s">
        <v>285</v>
      </c>
      <c r="P256" s="19" t="s">
        <v>617</v>
      </c>
      <c r="Q256" s="19" t="s">
        <v>1322</v>
      </c>
      <c r="R256" s="19" t="s">
        <v>1332</v>
      </c>
      <c r="S256" s="19"/>
      <c r="T256" s="19" t="s">
        <v>54</v>
      </c>
      <c r="U256" s="19" t="s">
        <v>75</v>
      </c>
      <c r="V256" s="19" t="s">
        <v>56</v>
      </c>
      <c r="W256" s="19" t="s">
        <v>138</v>
      </c>
      <c r="X256" s="19" t="s">
        <v>235</v>
      </c>
      <c r="Y256" s="19" t="s">
        <v>235</v>
      </c>
      <c r="Z256" s="19" t="s">
        <v>1335</v>
      </c>
      <c r="AA256" s="19">
        <v>2</v>
      </c>
      <c r="AB256" s="19">
        <v>2</v>
      </c>
      <c r="AC256" s="19" t="s">
        <v>60</v>
      </c>
      <c r="AD256" s="19" t="s">
        <v>617</v>
      </c>
      <c r="AE256" s="19" t="s">
        <v>1139</v>
      </c>
      <c r="AF256" s="19"/>
    </row>
    <row r="257" spans="1:34">
      <c r="A257" s="19">
        <v>249</v>
      </c>
      <c r="B257" s="19" t="s">
        <v>1329</v>
      </c>
      <c r="C257" s="19" t="s">
        <v>1330</v>
      </c>
      <c r="D257" s="19" t="str">
        <f>HYPERLINK("http://www.henontech.com/fieldsafety/harzard/harzard_show.php?rid=3362&amp;url=harzardrecs.php","东二钎子，操作工在途径时容易被纤子绊倒，造成人员伤害。")</f>
        <v>东二钎子，操作工在途径时容易被纤子绊倒，造成人员伤害。</v>
      </c>
      <c r="E257" s="19" t="s">
        <v>1334</v>
      </c>
      <c r="F257" s="24" t="s">
        <v>387</v>
      </c>
      <c r="G257" s="21" t="s">
        <v>43</v>
      </c>
      <c r="H257" s="19" t="s">
        <v>44</v>
      </c>
      <c r="I257" s="19" t="s">
        <v>83</v>
      </c>
      <c r="J257" s="19"/>
      <c r="K257" s="19"/>
      <c r="L257" s="19"/>
      <c r="M257" s="19" t="s">
        <v>285</v>
      </c>
      <c r="N257" s="19" t="s">
        <v>1167</v>
      </c>
      <c r="O257" s="19"/>
      <c r="P257" s="19"/>
      <c r="Q257" s="19"/>
      <c r="R257" s="19" t="s">
        <v>1332</v>
      </c>
      <c r="S257" s="19" t="s">
        <v>1333</v>
      </c>
      <c r="T257" s="19" t="s">
        <v>54</v>
      </c>
      <c r="U257" s="19" t="s">
        <v>75</v>
      </c>
      <c r="V257" s="19" t="s">
        <v>101</v>
      </c>
      <c r="W257" s="19" t="s">
        <v>77</v>
      </c>
      <c r="X257" s="19"/>
      <c r="Y257" s="19"/>
      <c r="Z257" s="19"/>
      <c r="AA257" s="19">
        <v>0</v>
      </c>
      <c r="AB257" s="19"/>
      <c r="AC257" s="19" t="s">
        <v>392</v>
      </c>
      <c r="AD257" s="19"/>
      <c r="AE257" s="19"/>
      <c r="AF257" s="19"/>
    </row>
    <row r="258" spans="1:34">
      <c r="A258" s="19">
        <v>250</v>
      </c>
      <c r="B258" s="19" t="s">
        <v>1336</v>
      </c>
      <c r="C258" s="19" t="s">
        <v>449</v>
      </c>
      <c r="D258" s="19" t="str">
        <f>HYPERLINK("http://www.henontech.com/fieldsafety/harzard/harzard_show.php?rid=3371&amp;url=harzardrecs.php","一名员工在巡检除氧器时，由于铁板腐蚀严重，一脚踏在腐蚀严重的平台铁板上，操作工左腿掉入平台底部，造成左脚脚踝骨折，送医后住院治疗")</f>
        <v>一名员工在巡检除氧器时，由于铁板腐蚀严重，一脚踏在腐蚀严重的平台铁板上，操作工左腿掉入平台底部，造成左脚脚踝骨折，送医后住院治疗</v>
      </c>
      <c r="E258" s="19" t="s">
        <v>1337</v>
      </c>
      <c r="F258" s="20" t="s">
        <v>42</v>
      </c>
      <c r="G258" s="21" t="s">
        <v>43</v>
      </c>
      <c r="H258" s="19" t="s">
        <v>44</v>
      </c>
      <c r="I258" s="19" t="s">
        <v>83</v>
      </c>
      <c r="J258" s="19" t="s">
        <v>46</v>
      </c>
      <c r="K258" s="19" t="s">
        <v>69</v>
      </c>
      <c r="L258" s="19" t="s">
        <v>48</v>
      </c>
      <c r="M258" s="19" t="s">
        <v>117</v>
      </c>
      <c r="N258" s="19" t="s">
        <v>1338</v>
      </c>
      <c r="O258" s="19" t="s">
        <v>117</v>
      </c>
      <c r="P258" s="19" t="s">
        <v>635</v>
      </c>
      <c r="Q258" s="19" t="s">
        <v>1339</v>
      </c>
      <c r="R258" s="19" t="s">
        <v>1340</v>
      </c>
      <c r="S258" s="19" t="s">
        <v>1341</v>
      </c>
      <c r="T258" s="19" t="s">
        <v>54</v>
      </c>
      <c r="U258" s="19" t="s">
        <v>55</v>
      </c>
      <c r="V258" s="19" t="s">
        <v>101</v>
      </c>
      <c r="W258" s="19" t="s">
        <v>138</v>
      </c>
      <c r="X258" s="19" t="s">
        <v>58</v>
      </c>
      <c r="Y258" s="19" t="s">
        <v>58</v>
      </c>
      <c r="Z258" s="19" t="s">
        <v>1342</v>
      </c>
      <c r="AA258" s="19">
        <v>1</v>
      </c>
      <c r="AB258" s="19">
        <v>1</v>
      </c>
      <c r="AC258" s="19" t="s">
        <v>60</v>
      </c>
      <c r="AD258" s="19" t="s">
        <v>635</v>
      </c>
      <c r="AE258" s="19" t="s">
        <v>1139</v>
      </c>
      <c r="AF258" s="19"/>
    </row>
    <row r="259" spans="1:34">
      <c r="A259" s="19">
        <v>251</v>
      </c>
      <c r="B259" s="19" t="s">
        <v>1336</v>
      </c>
      <c r="C259" s="19" t="s">
        <v>879</v>
      </c>
      <c r="D259" s="19" t="str">
        <f>HYPERLINK("http://www.henontech.com/fieldsafety/harzard/harzard_show.php?rid=3373&amp;url=harzardrecs.php","汽轮机房三楼平台至主控楼楼顶楼梯台阶无防滑条，一名员工巡检过程中下楼梯时，脚底打滑跌倒，造成左脚脚踝扭伤，送医治疗。")</f>
        <v>汽轮机房三楼平台至主控楼楼顶楼梯台阶无防滑条，一名员工巡检过程中下楼梯时，脚底打滑跌倒，造成左脚脚踝扭伤，送医治疗。</v>
      </c>
      <c r="E259" s="19" t="s">
        <v>1343</v>
      </c>
      <c r="F259" s="20" t="s">
        <v>42</v>
      </c>
      <c r="G259" s="21" t="s">
        <v>43</v>
      </c>
      <c r="H259" s="19" t="s">
        <v>44</v>
      </c>
      <c r="I259" s="19" t="s">
        <v>45</v>
      </c>
      <c r="J259" s="19" t="s">
        <v>46</v>
      </c>
      <c r="K259" s="19" t="s">
        <v>166</v>
      </c>
      <c r="L259" s="19" t="s">
        <v>48</v>
      </c>
      <c r="M259" s="19" t="s">
        <v>117</v>
      </c>
      <c r="N259" s="19" t="s">
        <v>1014</v>
      </c>
      <c r="O259" s="19" t="s">
        <v>117</v>
      </c>
      <c r="P259" s="19" t="s">
        <v>635</v>
      </c>
      <c r="Q259" s="19" t="s">
        <v>1344</v>
      </c>
      <c r="R259" s="19" t="s">
        <v>1345</v>
      </c>
      <c r="S259" s="19" t="s">
        <v>1346</v>
      </c>
      <c r="T259" s="19" t="s">
        <v>54</v>
      </c>
      <c r="U259" s="19" t="s">
        <v>55</v>
      </c>
      <c r="V259" s="19" t="s">
        <v>101</v>
      </c>
      <c r="W259" s="19" t="s">
        <v>138</v>
      </c>
      <c r="X259" s="19" t="s">
        <v>123</v>
      </c>
      <c r="Y259" s="19"/>
      <c r="Z259" s="19" t="s">
        <v>1347</v>
      </c>
      <c r="AA259" s="19">
        <v>1</v>
      </c>
      <c r="AB259" s="19">
        <v>1</v>
      </c>
      <c r="AC259" s="19" t="s">
        <v>60</v>
      </c>
      <c r="AD259" s="19" t="s">
        <v>635</v>
      </c>
      <c r="AE259" s="19" t="s">
        <v>1139</v>
      </c>
      <c r="AF259" s="19" t="s">
        <v>1348</v>
      </c>
    </row>
    <row r="260" spans="1:34">
      <c r="A260" s="19">
        <v>252</v>
      </c>
      <c r="B260" s="19" t="s">
        <v>1336</v>
      </c>
      <c r="C260" s="19" t="s">
        <v>299</v>
      </c>
      <c r="D260" s="19" t="str">
        <f>HYPERLINK("http://www.henontech.com/fieldsafety/harzard/harzard_show.php?rid=3374&amp;url=harzardrecs.php","一次水池西侧地沟盖板缺失，地沟深度1米，一名员工巡检一次水池西侧时，右脚不慎踩入地沟，身体倾斜，致使右侧肋骨处与地沟檐发生碰撞，造成右侧两根肋骨骨折，送医治疗。")</f>
        <v>一次水池西侧地沟盖板缺失，地沟深度1米，一名员工巡检一次水池西侧时，右脚不慎踩入地沟，身体倾斜，致使右侧肋骨处与地沟檐发生碰撞，造成右侧两根肋骨骨折，送医治疗。</v>
      </c>
      <c r="E260" s="19" t="s">
        <v>1349</v>
      </c>
      <c r="F260" s="20" t="s">
        <v>42</v>
      </c>
      <c r="G260" s="21" t="s">
        <v>43</v>
      </c>
      <c r="H260" s="19" t="s">
        <v>44</v>
      </c>
      <c r="I260" s="19" t="s">
        <v>83</v>
      </c>
      <c r="J260" s="19" t="s">
        <v>46</v>
      </c>
      <c r="K260" s="19" t="s">
        <v>69</v>
      </c>
      <c r="L260" s="19" t="s">
        <v>48</v>
      </c>
      <c r="M260" s="19" t="s">
        <v>117</v>
      </c>
      <c r="N260" s="19" t="s">
        <v>1350</v>
      </c>
      <c r="O260" s="19" t="s">
        <v>117</v>
      </c>
      <c r="P260" s="19" t="s">
        <v>635</v>
      </c>
      <c r="Q260" s="19" t="s">
        <v>1351</v>
      </c>
      <c r="R260" s="19" t="s">
        <v>1352</v>
      </c>
      <c r="S260" s="19" t="s">
        <v>1353</v>
      </c>
      <c r="T260" s="19" t="s">
        <v>54</v>
      </c>
      <c r="U260" s="19" t="s">
        <v>55</v>
      </c>
      <c r="V260" s="19" t="s">
        <v>101</v>
      </c>
      <c r="W260" s="19" t="s">
        <v>138</v>
      </c>
      <c r="X260" s="19" t="s">
        <v>58</v>
      </c>
      <c r="Y260" s="19"/>
      <c r="Z260" s="19" t="s">
        <v>1354</v>
      </c>
      <c r="AA260" s="19">
        <v>1</v>
      </c>
      <c r="AB260" s="19">
        <v>1</v>
      </c>
      <c r="AC260" s="19" t="s">
        <v>60</v>
      </c>
      <c r="AD260" s="19" t="s">
        <v>635</v>
      </c>
      <c r="AE260" s="19" t="s">
        <v>1123</v>
      </c>
      <c r="AF260" s="19"/>
    </row>
    <row r="261" spans="1:34">
      <c r="A261" s="19">
        <v>253</v>
      </c>
      <c r="B261" s="19" t="s">
        <v>1336</v>
      </c>
      <c r="C261" s="19" t="s">
        <v>1118</v>
      </c>
      <c r="D261" s="19" t="str">
        <f>HYPERLINK("http://www.henontech.com/fieldsafety/harzard/harzard_show.php?rid=3377&amp;url=harzardrecs.php","一操作工下地下室时，因爬梯未安装防滑条，操作工脚底打滑，不慎从四米高爬梯摔落至下方地面，送医救治，诊断为左小腿骨折，住院治疗20天，休养三个月。")</f>
        <v>一操作工下地下室时，因爬梯未安装防滑条，操作工脚底打滑，不慎从四米高爬梯摔落至下方地面，送医救治，诊断为左小腿骨折，住院治疗20天，休养三个月。</v>
      </c>
      <c r="E261" s="19" t="s">
        <v>1355</v>
      </c>
      <c r="F261" s="20" t="s">
        <v>42</v>
      </c>
      <c r="G261" s="21" t="s">
        <v>43</v>
      </c>
      <c r="H261" s="19" t="s">
        <v>44</v>
      </c>
      <c r="I261" s="19"/>
      <c r="J261" s="19" t="s">
        <v>68</v>
      </c>
      <c r="K261" s="19" t="s">
        <v>69</v>
      </c>
      <c r="L261" s="19"/>
      <c r="M261" s="19" t="s">
        <v>117</v>
      </c>
      <c r="N261" s="19" t="s">
        <v>1172</v>
      </c>
      <c r="O261" s="19" t="s">
        <v>117</v>
      </c>
      <c r="P261" s="19" t="s">
        <v>937</v>
      </c>
      <c r="Q261" s="19" t="s">
        <v>1344</v>
      </c>
      <c r="R261" s="19" t="s">
        <v>1356</v>
      </c>
      <c r="S261" s="19" t="s">
        <v>1357</v>
      </c>
      <c r="T261" s="19" t="s">
        <v>54</v>
      </c>
      <c r="U261" s="19" t="s">
        <v>55</v>
      </c>
      <c r="V261" s="19" t="s">
        <v>56</v>
      </c>
      <c r="W261" s="19" t="s">
        <v>57</v>
      </c>
      <c r="X261" s="19" t="s">
        <v>123</v>
      </c>
      <c r="Y261" s="19"/>
      <c r="Z261" s="19" t="s">
        <v>1347</v>
      </c>
      <c r="AA261" s="19">
        <v>1</v>
      </c>
      <c r="AB261" s="19">
        <v>1</v>
      </c>
      <c r="AC261" s="19" t="s">
        <v>60</v>
      </c>
      <c r="AD261" s="19" t="s">
        <v>937</v>
      </c>
      <c r="AE261" s="19" t="s">
        <v>1123</v>
      </c>
      <c r="AF261" s="19" t="s">
        <v>1358</v>
      </c>
    </row>
    <row r="262" spans="1:34">
      <c r="A262" s="19">
        <v>254</v>
      </c>
      <c r="B262" s="19" t="s">
        <v>1336</v>
      </c>
      <c r="C262" s="19" t="s">
        <v>1017</v>
      </c>
      <c r="D262" s="19" t="str">
        <f>HYPERLINK("http://www.henontech.com/fieldsafety/harzard/harzard_show.php?rid=3379&amp;url=harzardrecs.php","高压配电室母联柜在线测温装置温度显示异常，员工巡查设备时无法判定触头温度是否正常，如温度过高发生断路器触头烧损，会引起设备停电造成财产损失。")</f>
        <v>高压配电室母联柜在线测温装置温度显示异常，员工巡查设备时无法判定触头温度是否正常，如温度过高发生断路器触头烧损，会引起设备停电造成财产损失。</v>
      </c>
      <c r="E262" s="19" t="s">
        <v>1359</v>
      </c>
      <c r="F262" s="20" t="s">
        <v>42</v>
      </c>
      <c r="G262" s="21" t="s">
        <v>43</v>
      </c>
      <c r="H262" s="19" t="s">
        <v>44</v>
      </c>
      <c r="I262" s="19" t="s">
        <v>67</v>
      </c>
      <c r="J262" s="19" t="s">
        <v>46</v>
      </c>
      <c r="K262" s="19" t="s">
        <v>47</v>
      </c>
      <c r="L262" s="19" t="s">
        <v>48</v>
      </c>
      <c r="M262" s="19" t="s">
        <v>117</v>
      </c>
      <c r="N262" s="19" t="s">
        <v>310</v>
      </c>
      <c r="O262" s="19" t="s">
        <v>117</v>
      </c>
      <c r="P262" s="19" t="s">
        <v>937</v>
      </c>
      <c r="Q262" s="19" t="s">
        <v>1351</v>
      </c>
      <c r="R262" s="19" t="s">
        <v>1360</v>
      </c>
      <c r="S262" s="19" t="s">
        <v>1361</v>
      </c>
      <c r="T262" s="19" t="s">
        <v>100</v>
      </c>
      <c r="U262" s="19" t="s">
        <v>192</v>
      </c>
      <c r="V262" s="19" t="s">
        <v>56</v>
      </c>
      <c r="W262" s="19" t="s">
        <v>77</v>
      </c>
      <c r="X262" s="19" t="s">
        <v>58</v>
      </c>
      <c r="Y262" s="19"/>
      <c r="Z262" s="19" t="s">
        <v>1362</v>
      </c>
      <c r="AA262" s="19">
        <v>1</v>
      </c>
      <c r="AB262" s="19">
        <v>0</v>
      </c>
      <c r="AC262" s="19" t="s">
        <v>60</v>
      </c>
      <c r="AD262" s="19" t="s">
        <v>937</v>
      </c>
      <c r="AE262" s="19" t="s">
        <v>1132</v>
      </c>
      <c r="AF262" s="19" t="s">
        <v>1363</v>
      </c>
    </row>
    <row r="263" spans="1:34">
      <c r="A263" s="19">
        <v>255</v>
      </c>
      <c r="B263" s="19" t="s">
        <v>1150</v>
      </c>
      <c r="C263" s="19" t="s">
        <v>449</v>
      </c>
      <c r="D263" s="19" t="str">
        <f>HYPERLINK("http://www.henontech.com/fieldsafety/harzard/harzard_show.php?rid=3380&amp;url=harzardrecs.php","西侧管架管线铝皮严重松动，遇大风天气，一名职工从附近经过，铝皮被风刮落砸到职工头上，脸部皮肤被铝皮轻微划伤，送医包扎。")</f>
        <v>西侧管架管线铝皮严重松动，遇大风天气，一名职工从附近经过，铝皮被风刮落砸到职工头上，脸部皮肤被铝皮轻微划伤，送医包扎。</v>
      </c>
      <c r="E263" s="19" t="s">
        <v>1364</v>
      </c>
      <c r="F263" s="20" t="s">
        <v>42</v>
      </c>
      <c r="G263" s="21" t="s">
        <v>43</v>
      </c>
      <c r="H263" s="19" t="s">
        <v>44</v>
      </c>
      <c r="I263" s="19" t="s">
        <v>67</v>
      </c>
      <c r="J263" s="19" t="s">
        <v>46</v>
      </c>
      <c r="K263" s="19" t="s">
        <v>69</v>
      </c>
      <c r="L263" s="19"/>
      <c r="M263" s="19" t="s">
        <v>117</v>
      </c>
      <c r="N263" s="19" t="s">
        <v>1001</v>
      </c>
      <c r="O263" s="19" t="s">
        <v>117</v>
      </c>
      <c r="P263" s="19" t="s">
        <v>635</v>
      </c>
      <c r="Q263" s="19" t="s">
        <v>1344</v>
      </c>
      <c r="R263" s="19" t="s">
        <v>1365</v>
      </c>
      <c r="S263" s="19" t="s">
        <v>1366</v>
      </c>
      <c r="T263" s="19" t="s">
        <v>54</v>
      </c>
      <c r="U263" s="19" t="s">
        <v>75</v>
      </c>
      <c r="V263" s="19" t="s">
        <v>56</v>
      </c>
      <c r="W263" s="19" t="s">
        <v>138</v>
      </c>
      <c r="X263" s="19" t="s">
        <v>58</v>
      </c>
      <c r="Y263" s="19"/>
      <c r="Z263" s="19" t="s">
        <v>1367</v>
      </c>
      <c r="AA263" s="19">
        <v>1</v>
      </c>
      <c r="AB263" s="19">
        <v>1</v>
      </c>
      <c r="AC263" s="19" t="s">
        <v>60</v>
      </c>
      <c r="AD263" s="19" t="s">
        <v>635</v>
      </c>
      <c r="AE263" s="19" t="s">
        <v>1088</v>
      </c>
      <c r="AF263" s="19" t="s">
        <v>1368</v>
      </c>
    </row>
    <row r="264" spans="1:34">
      <c r="A264" s="19">
        <v>256</v>
      </c>
      <c r="B264" s="19" t="s">
        <v>1150</v>
      </c>
      <c r="C264" s="19" t="s">
        <v>449</v>
      </c>
      <c r="D264" s="19" t="str">
        <f>HYPERLINK("http://www.henontech.com/fieldsafety/harzard/harzard_show.php?rid=3381&amp;url=harzardrecs.php","干熄焦巡检工到加药间巡检时，经过门口时由于斜铁障碍，不慎绊倒，造成面部擦伤，上肢骨折，送医院治疗。")</f>
        <v>干熄焦巡检工到加药间巡检时，经过门口时由于斜铁障碍，不慎绊倒，造成面部擦伤，上肢骨折，送医院治疗。</v>
      </c>
      <c r="E264" s="19" t="s">
        <v>1369</v>
      </c>
      <c r="F264" s="20" t="s">
        <v>42</v>
      </c>
      <c r="G264" s="21" t="s">
        <v>43</v>
      </c>
      <c r="H264" s="19" t="s">
        <v>875</v>
      </c>
      <c r="I264" s="19"/>
      <c r="J264" s="19" t="s">
        <v>46</v>
      </c>
      <c r="K264" s="19" t="s">
        <v>69</v>
      </c>
      <c r="L264" s="19" t="s">
        <v>375</v>
      </c>
      <c r="M264" s="19" t="s">
        <v>117</v>
      </c>
      <c r="N264" s="19" t="s">
        <v>1370</v>
      </c>
      <c r="O264" s="19" t="s">
        <v>117</v>
      </c>
      <c r="P264" s="19" t="s">
        <v>937</v>
      </c>
      <c r="Q264" s="19" t="s">
        <v>1344</v>
      </c>
      <c r="R264" s="19" t="s">
        <v>1371</v>
      </c>
      <c r="S264" s="19" t="s">
        <v>1372</v>
      </c>
      <c r="T264" s="19" t="s">
        <v>54</v>
      </c>
      <c r="U264" s="19" t="s">
        <v>55</v>
      </c>
      <c r="V264" s="19" t="s">
        <v>56</v>
      </c>
      <c r="W264" s="19" t="s">
        <v>57</v>
      </c>
      <c r="X264" s="19" t="s">
        <v>123</v>
      </c>
      <c r="Y264" s="19"/>
      <c r="Z264" s="19" t="s">
        <v>1373</v>
      </c>
      <c r="AA264" s="19">
        <v>1</v>
      </c>
      <c r="AB264" s="19">
        <v>1</v>
      </c>
      <c r="AC264" s="19" t="s">
        <v>60</v>
      </c>
      <c r="AD264" s="19" t="s">
        <v>937</v>
      </c>
      <c r="AE264" s="19" t="s">
        <v>1123</v>
      </c>
      <c r="AF264" s="19" t="s">
        <v>1374</v>
      </c>
    </row>
    <row r="265" spans="1:34">
      <c r="A265" s="19">
        <v>257</v>
      </c>
      <c r="B265" s="19" t="s">
        <v>1150</v>
      </c>
      <c r="C265" s="19" t="s">
        <v>689</v>
      </c>
      <c r="D265" s="19" t="str">
        <f>HYPERLINK("http://www.henontech.com/fieldsafety/harzard/harzard_show.php?rid=3383&amp;url=harzardrecs.php","因提升机七层东侧护栏踢脚板开焊，起不到防护作用，一巡检工夜间巡检时经过此处，不慎将一铁件从护栏开焊处踢落，铁件从36米高处坠落将下方行人头部砸伤，送医院抢救无效死亡。")</f>
        <v>因提升机七层东侧护栏踢脚板开焊，起不到防护作用，一巡检工夜间巡检时经过此处，不慎将一铁件从护栏开焊处踢落，铁件从36米高处坠落将下方行人头部砸伤，送医院抢救无效死亡。</v>
      </c>
      <c r="E265" s="19" t="s">
        <v>1375</v>
      </c>
      <c r="F265" s="20" t="s">
        <v>42</v>
      </c>
      <c r="G265" s="21" t="s">
        <v>43</v>
      </c>
      <c r="H265" s="19" t="s">
        <v>44</v>
      </c>
      <c r="I265" s="19" t="s">
        <v>67</v>
      </c>
      <c r="J265" s="19" t="s">
        <v>46</v>
      </c>
      <c r="K265" s="19" t="s">
        <v>69</v>
      </c>
      <c r="L265" s="19" t="s">
        <v>48</v>
      </c>
      <c r="M265" s="19" t="s">
        <v>117</v>
      </c>
      <c r="N265" s="19" t="s">
        <v>1204</v>
      </c>
      <c r="O265" s="19" t="s">
        <v>117</v>
      </c>
      <c r="P265" s="19" t="s">
        <v>937</v>
      </c>
      <c r="Q265" s="19" t="s">
        <v>1339</v>
      </c>
      <c r="R265" s="19" t="s">
        <v>1376</v>
      </c>
      <c r="S265" s="19" t="s">
        <v>1377</v>
      </c>
      <c r="T265" s="19" t="s">
        <v>54</v>
      </c>
      <c r="U265" s="19" t="s">
        <v>121</v>
      </c>
      <c r="V265" s="19" t="s">
        <v>56</v>
      </c>
      <c r="W265" s="19" t="s">
        <v>122</v>
      </c>
      <c r="X265" s="19" t="s">
        <v>58</v>
      </c>
      <c r="Y265" s="19" t="s">
        <v>58</v>
      </c>
      <c r="Z265" s="19" t="s">
        <v>1378</v>
      </c>
      <c r="AA265" s="19">
        <v>1</v>
      </c>
      <c r="AB265" s="19">
        <v>1</v>
      </c>
      <c r="AC265" s="19" t="s">
        <v>60</v>
      </c>
      <c r="AD265" s="19" t="s">
        <v>937</v>
      </c>
      <c r="AE265" s="19" t="s">
        <v>1088</v>
      </c>
      <c r="AF265" s="19" t="s">
        <v>1379</v>
      </c>
    </row>
    <row r="266" spans="1:34">
      <c r="A266" s="19">
        <v>258</v>
      </c>
      <c r="B266" s="19" t="s">
        <v>1150</v>
      </c>
      <c r="C266" s="19" t="s">
        <v>1380</v>
      </c>
      <c r="D266" s="19" t="str">
        <f>HYPERLINK("http://www.henontech.com/fieldsafety/harzard/harzard_show.php?rid=3385&amp;url=harzardrecs.php","循环水冷却塔爬梯无防滑条，冷却塔地面湿滑，爬梯陡  高，一员工在巡检过程中从此经过，脚底打滑 不慎从四米高处跌落地面，送医救治  诊断为右脚脚踝处骨折，住院20天  休养三个月  损工110天 。")</f>
        <v>循环水冷却塔爬梯无防滑条，冷却塔地面湿滑，爬梯陡  高，一员工在巡检过程中从此经过，脚底打滑 不慎从四米高处跌落地面，送医救治  诊断为右脚脚踝处骨折，住院20天  休养三个月  损工110天 。</v>
      </c>
      <c r="E266" s="19" t="s">
        <v>1381</v>
      </c>
      <c r="F266" s="20" t="s">
        <v>42</v>
      </c>
      <c r="G266" s="21" t="s">
        <v>43</v>
      </c>
      <c r="H266" s="19" t="s">
        <v>44</v>
      </c>
      <c r="I266" s="19" t="s">
        <v>67</v>
      </c>
      <c r="J266" s="19" t="s">
        <v>46</v>
      </c>
      <c r="K266" s="19" t="s">
        <v>166</v>
      </c>
      <c r="L266" s="19" t="s">
        <v>48</v>
      </c>
      <c r="M266" s="19" t="s">
        <v>117</v>
      </c>
      <c r="N266" s="19" t="s">
        <v>1149</v>
      </c>
      <c r="O266" s="19" t="s">
        <v>117</v>
      </c>
      <c r="P266" s="19" t="s">
        <v>937</v>
      </c>
      <c r="Q266" s="19" t="s">
        <v>1351</v>
      </c>
      <c r="R266" s="19" t="s">
        <v>1382</v>
      </c>
      <c r="S266" s="19" t="s">
        <v>1383</v>
      </c>
      <c r="T266" s="19" t="s">
        <v>54</v>
      </c>
      <c r="U266" s="19" t="s">
        <v>55</v>
      </c>
      <c r="V266" s="19" t="s">
        <v>56</v>
      </c>
      <c r="W266" s="19" t="s">
        <v>57</v>
      </c>
      <c r="X266" s="19" t="s">
        <v>123</v>
      </c>
      <c r="Y266" s="19"/>
      <c r="Z266" s="19" t="s">
        <v>1384</v>
      </c>
      <c r="AA266" s="19">
        <v>1</v>
      </c>
      <c r="AB266" s="19">
        <v>1</v>
      </c>
      <c r="AC266" s="19" t="s">
        <v>60</v>
      </c>
      <c r="AD266" s="19" t="s">
        <v>937</v>
      </c>
      <c r="AE266" s="19" t="s">
        <v>1139</v>
      </c>
      <c r="AF266" s="19" t="s">
        <v>1385</v>
      </c>
    </row>
    <row r="267" spans="1:34">
      <c r="A267" s="19">
        <v>259</v>
      </c>
      <c r="B267" s="19" t="s">
        <v>1386</v>
      </c>
      <c r="C267" s="19" t="s">
        <v>1387</v>
      </c>
      <c r="D267" s="19" t="str">
        <f>HYPERLINK("http://www.henontech.com/fieldsafety/harzard/harzard_show.php?rid=3393&amp;url=harzardrecs.php","西硫铵东管架，管道腐蚀漏水，操作工巡查时由于路面湿滑不小心滑倒轻微扭伤，休息后不影响上班")</f>
        <v>西硫铵东管架，管道腐蚀漏水，操作工巡查时由于路面湿滑不小心滑倒轻微扭伤，休息后不影响上班</v>
      </c>
      <c r="E267" s="19" t="s">
        <v>1388</v>
      </c>
      <c r="F267" s="20" t="s">
        <v>42</v>
      </c>
      <c r="G267" s="21" t="s">
        <v>43</v>
      </c>
      <c r="H267" s="19" t="s">
        <v>44</v>
      </c>
      <c r="I267" s="19" t="s">
        <v>45</v>
      </c>
      <c r="J267" s="19" t="s">
        <v>46</v>
      </c>
      <c r="K267" s="19" t="s">
        <v>69</v>
      </c>
      <c r="L267" s="19"/>
      <c r="M267" s="19" t="s">
        <v>70</v>
      </c>
      <c r="N267" s="19" t="s">
        <v>444</v>
      </c>
      <c r="O267" s="19" t="s">
        <v>70</v>
      </c>
      <c r="P267" s="19" t="s">
        <v>72</v>
      </c>
      <c r="Q267" s="19" t="s">
        <v>1389</v>
      </c>
      <c r="R267" s="19" t="s">
        <v>1390</v>
      </c>
      <c r="S267" s="19"/>
      <c r="T267" s="19" t="s">
        <v>54</v>
      </c>
      <c r="U267" s="19" t="s">
        <v>75</v>
      </c>
      <c r="V267" s="19" t="s">
        <v>101</v>
      </c>
      <c r="W267" s="19" t="s">
        <v>77</v>
      </c>
      <c r="X267" s="19"/>
      <c r="Y267" s="19"/>
      <c r="Z267" s="19" t="s">
        <v>1391</v>
      </c>
      <c r="AA267" s="19">
        <v>1</v>
      </c>
      <c r="AB267" s="19">
        <v>1</v>
      </c>
      <c r="AC267" s="19" t="s">
        <v>60</v>
      </c>
      <c r="AD267" s="19" t="s">
        <v>72</v>
      </c>
      <c r="AE267" s="19" t="s">
        <v>1202</v>
      </c>
      <c r="AF267" s="19"/>
    </row>
    <row r="268" spans="1:34">
      <c r="A268" s="19">
        <v>260</v>
      </c>
      <c r="B268" s="19" t="s">
        <v>1386</v>
      </c>
      <c r="C268" s="19" t="s">
        <v>1392</v>
      </c>
      <c r="D268" s="19" t="str">
        <f>HYPERLINK("http://www.henontech.com/fieldsafety/harzard/harzard_show.php?rid=3396&amp;url=harzardrecs.php","焦油罐区域内管架腐蚀角钢开裂脱落，操作工在巡查时，角钢脱落砸伤脚趾，医院包扎治疗后回家休养5天，损工5天")</f>
        <v>焦油罐区域内管架腐蚀角钢开裂脱落，操作工在巡查时，角钢脱落砸伤脚趾，医院包扎治疗后回家休养5天，损工5天</v>
      </c>
      <c r="E268" s="19" t="s">
        <v>1393</v>
      </c>
      <c r="F268" s="20" t="s">
        <v>42</v>
      </c>
      <c r="G268" s="21" t="s">
        <v>43</v>
      </c>
      <c r="H268" s="19" t="s">
        <v>44</v>
      </c>
      <c r="I268" s="19" t="s">
        <v>45</v>
      </c>
      <c r="J268" s="19" t="s">
        <v>46</v>
      </c>
      <c r="K268" s="19" t="s">
        <v>69</v>
      </c>
      <c r="L268" s="19" t="s">
        <v>48</v>
      </c>
      <c r="M268" s="19" t="s">
        <v>70</v>
      </c>
      <c r="N268" s="19" t="s">
        <v>444</v>
      </c>
      <c r="O268" s="19" t="s">
        <v>70</v>
      </c>
      <c r="P268" s="19" t="s">
        <v>72</v>
      </c>
      <c r="Q268" s="19" t="s">
        <v>1389</v>
      </c>
      <c r="R268" s="19" t="s">
        <v>1392</v>
      </c>
      <c r="S268" s="19"/>
      <c r="T268" s="19" t="s">
        <v>54</v>
      </c>
      <c r="U268" s="19" t="s">
        <v>55</v>
      </c>
      <c r="V268" s="19" t="s">
        <v>56</v>
      </c>
      <c r="W268" s="19" t="s">
        <v>57</v>
      </c>
      <c r="X268" s="19"/>
      <c r="Y268" s="19"/>
      <c r="Z268" s="19" t="s">
        <v>1394</v>
      </c>
      <c r="AA268" s="19">
        <v>1</v>
      </c>
      <c r="AB268" s="19">
        <v>1</v>
      </c>
      <c r="AC268" s="19" t="s">
        <v>60</v>
      </c>
      <c r="AD268" s="19" t="s">
        <v>72</v>
      </c>
      <c r="AE268" s="19" t="s">
        <v>1202</v>
      </c>
      <c r="AF268" s="19"/>
    </row>
    <row r="269" spans="1:34" customHeight="1" ht="42">
      <c r="A269" s="19">
        <v>261</v>
      </c>
      <c r="B269" s="19" t="s">
        <v>1205</v>
      </c>
      <c r="C269" s="19" t="s">
        <v>1330</v>
      </c>
      <c r="D269" s="19" t="str">
        <f>HYPERLINK("http://www.henontech.com/fieldsafety/harzard/harzard_show.php?rid=3470&amp;url=harzardrecs.php","煤九外部护栏开焊，清理平台卫生，开焊的护栏拌倒操作工")</f>
        <v>煤九外部护栏开焊，清理平台卫生，开焊的护栏拌倒操作工</v>
      </c>
      <c r="E269" s="19" t="s">
        <v>1395</v>
      </c>
      <c r="F269" s="20" t="s">
        <v>42</v>
      </c>
      <c r="G269" s="21" t="s">
        <v>43</v>
      </c>
      <c r="H269" s="19" t="s">
        <v>974</v>
      </c>
      <c r="I269" s="19" t="s">
        <v>67</v>
      </c>
      <c r="J269" s="19" t="s">
        <v>68</v>
      </c>
      <c r="K269" s="19" t="s">
        <v>69</v>
      </c>
      <c r="L269" s="19" t="s">
        <v>48</v>
      </c>
      <c r="M269" s="19" t="s">
        <v>285</v>
      </c>
      <c r="N269" s="19" t="s">
        <v>1396</v>
      </c>
      <c r="O269" s="19" t="s">
        <v>285</v>
      </c>
      <c r="P269" s="19" t="s">
        <v>617</v>
      </c>
      <c r="Q269" s="19" t="s">
        <v>1322</v>
      </c>
      <c r="R269" s="19" t="s">
        <v>1397</v>
      </c>
      <c r="S269" s="19"/>
      <c r="T269" s="19" t="s">
        <v>54</v>
      </c>
      <c r="U269" s="19" t="s">
        <v>75</v>
      </c>
      <c r="V269" s="19" t="s">
        <v>271</v>
      </c>
      <c r="W269" s="19" t="s">
        <v>57</v>
      </c>
      <c r="X269" s="19" t="s">
        <v>235</v>
      </c>
      <c r="Y269" s="19" t="s">
        <v>235</v>
      </c>
      <c r="Z269" s="19" t="s">
        <v>1398</v>
      </c>
      <c r="AA269" s="19">
        <v>2</v>
      </c>
      <c r="AB269" s="19">
        <v>2</v>
      </c>
      <c r="AC269" s="19" t="s">
        <v>60</v>
      </c>
      <c r="AD269" s="19" t="s">
        <v>617</v>
      </c>
      <c r="AE269" s="19" t="s">
        <v>1139</v>
      </c>
      <c r="AF269" s="19"/>
    </row>
    <row r="270" spans="1:34" customHeight="1" ht="42">
      <c r="A270" s="19">
        <v>262</v>
      </c>
      <c r="B270" s="19" t="s">
        <v>1205</v>
      </c>
      <c r="C270" s="19" t="s">
        <v>1250</v>
      </c>
      <c r="D270" s="19" t="str">
        <f>HYPERLINK("http://www.henontech.com/fieldsafety/harzard/harzard_show.php?rid=3499&amp;url=harzardrecs.php","5.5米焦炉熄焦池抓斗操作平台缺少踢脚板，安全防护措施缺陷，雨雪天气操作工在平台操作脚底出现打滑，从护栏空隙跌落。")</f>
        <v>5.5米焦炉熄焦池抓斗操作平台缺少踢脚板，安全防护措施缺陷，雨雪天气操作工在平台操作脚底出现打滑，从护栏空隙跌落。</v>
      </c>
      <c r="E270" s="19" t="s">
        <v>1399</v>
      </c>
      <c r="F270" s="20" t="s">
        <v>42</v>
      </c>
      <c r="G270" s="21" t="s">
        <v>43</v>
      </c>
      <c r="H270" s="19" t="s">
        <v>44</v>
      </c>
      <c r="I270" s="19" t="s">
        <v>67</v>
      </c>
      <c r="J270" s="19" t="s">
        <v>46</v>
      </c>
      <c r="K270" s="19" t="s">
        <v>166</v>
      </c>
      <c r="L270" s="19"/>
      <c r="M270" s="19" t="s">
        <v>117</v>
      </c>
      <c r="N270" s="19" t="s">
        <v>1197</v>
      </c>
      <c r="O270" s="19" t="s">
        <v>117</v>
      </c>
      <c r="P270" s="19" t="s">
        <v>224</v>
      </c>
      <c r="Q270" s="19" t="s">
        <v>1241</v>
      </c>
      <c r="R270" s="19" t="s">
        <v>1400</v>
      </c>
      <c r="S270" s="19"/>
      <c r="T270" s="19" t="s">
        <v>54</v>
      </c>
      <c r="U270" s="19" t="s">
        <v>55</v>
      </c>
      <c r="V270" s="19" t="s">
        <v>56</v>
      </c>
      <c r="W270" s="19" t="s">
        <v>57</v>
      </c>
      <c r="X270" s="19" t="s">
        <v>123</v>
      </c>
      <c r="Y270" s="19"/>
      <c r="Z270" s="19" t="s">
        <v>1401</v>
      </c>
      <c r="AA270" s="19">
        <v>2</v>
      </c>
      <c r="AB270" s="19">
        <v>2</v>
      </c>
      <c r="AC270" s="19" t="s">
        <v>60</v>
      </c>
      <c r="AD270" s="19" t="s">
        <v>224</v>
      </c>
      <c r="AE270" s="19" t="s">
        <v>1080</v>
      </c>
      <c r="AF270" s="19"/>
    </row>
    <row r="271" spans="1:34" customHeight="1" ht="42">
      <c r="A271" s="19">
        <v>263</v>
      </c>
      <c r="B271" s="19" t="s">
        <v>1402</v>
      </c>
      <c r="C271" s="19" t="s">
        <v>1330</v>
      </c>
      <c r="D271" s="19" t="str">
        <f>HYPERLINK("http://www.henontech.com/fieldsafety/harzard/harzard_show.php?rid=3518&amp;url=harzardrecs.php","清理卫生时，一只脚不小心滑入污水泵小井中，造成小腿部擦伤，自行处理简单包扎")</f>
        <v>清理卫生时，一只脚不小心滑入污水泵小井中，造成小腿部擦伤，自行处理简单包扎</v>
      </c>
      <c r="E271" s="19" t="s">
        <v>1403</v>
      </c>
      <c r="F271" s="20" t="s">
        <v>42</v>
      </c>
      <c r="G271" s="21" t="s">
        <v>43</v>
      </c>
      <c r="H271" s="19" t="s">
        <v>44</v>
      </c>
      <c r="I271" s="19" t="s">
        <v>67</v>
      </c>
      <c r="J271" s="19" t="s">
        <v>46</v>
      </c>
      <c r="K271" s="19" t="s">
        <v>47</v>
      </c>
      <c r="L271" s="19" t="s">
        <v>48</v>
      </c>
      <c r="M271" s="19" t="s">
        <v>285</v>
      </c>
      <c r="N271" s="19" t="s">
        <v>1404</v>
      </c>
      <c r="O271" s="19" t="s">
        <v>285</v>
      </c>
      <c r="P271" s="19" t="s">
        <v>617</v>
      </c>
      <c r="Q271" s="19" t="s">
        <v>1405</v>
      </c>
      <c r="R271" s="19" t="s">
        <v>1406</v>
      </c>
      <c r="S271" s="19"/>
      <c r="T271" s="19" t="s">
        <v>54</v>
      </c>
      <c r="U271" s="19" t="s">
        <v>75</v>
      </c>
      <c r="V271" s="19" t="s">
        <v>101</v>
      </c>
      <c r="W271" s="19" t="s">
        <v>77</v>
      </c>
      <c r="X271" s="19" t="s">
        <v>235</v>
      </c>
      <c r="Y271" s="19" t="s">
        <v>235</v>
      </c>
      <c r="Z271" s="19" t="s">
        <v>1407</v>
      </c>
      <c r="AA271" s="19">
        <v>2</v>
      </c>
      <c r="AB271" s="19">
        <v>2</v>
      </c>
      <c r="AC271" s="19" t="s">
        <v>60</v>
      </c>
      <c r="AD271" s="19" t="s">
        <v>617</v>
      </c>
      <c r="AE271" s="19" t="s">
        <v>1139</v>
      </c>
      <c r="AF271" s="19"/>
    </row>
    <row r="272" spans="1:34">
      <c r="A272" s="19">
        <v>264</v>
      </c>
      <c r="B272" s="19" t="s">
        <v>1402</v>
      </c>
      <c r="C272" s="19" t="s">
        <v>689</v>
      </c>
      <c r="D272" s="19" t="str">
        <f>HYPERLINK("http://www.henontech.com/fieldsafety/harzard/harzard_show.php?rid=3542&amp;url=harzardrecs.php","干熄焦提升机五层上方框架角铁焊接部位腐蚀严重，提升机运行时振动掉落，将下方5米处平台上经过的一名巡检工砸中头部的安全帽上，角铁从安全帽滑落砸在该员工肩膀，受伤出血被送医院")</f>
        <v>干熄焦提升机五层上方框架角铁焊接部位腐蚀严重，提升机运行时振动掉落，将下方5米处平台上经过的一名巡检工砸中头部的安全帽上，角铁从安全帽滑落砸在该员工肩膀，受伤出血被送医院</v>
      </c>
      <c r="E272" s="19" t="s">
        <v>1408</v>
      </c>
      <c r="F272" s="20" t="s">
        <v>42</v>
      </c>
      <c r="G272" s="21" t="s">
        <v>43</v>
      </c>
      <c r="H272" s="19" t="s">
        <v>44</v>
      </c>
      <c r="I272" s="19" t="s">
        <v>67</v>
      </c>
      <c r="J272" s="19" t="s">
        <v>46</v>
      </c>
      <c r="K272" s="19"/>
      <c r="L272" s="19" t="s">
        <v>48</v>
      </c>
      <c r="M272" s="19" t="s">
        <v>117</v>
      </c>
      <c r="N272" s="19" t="s">
        <v>119</v>
      </c>
      <c r="O272" s="19" t="s">
        <v>117</v>
      </c>
      <c r="P272" s="19" t="s">
        <v>119</v>
      </c>
      <c r="Q272" s="19" t="s">
        <v>1409</v>
      </c>
      <c r="R272" s="19" t="s">
        <v>1410</v>
      </c>
      <c r="S272" s="19" t="s">
        <v>1411</v>
      </c>
      <c r="T272" s="19" t="s">
        <v>54</v>
      </c>
      <c r="U272" s="19" t="s">
        <v>55</v>
      </c>
      <c r="V272" s="19" t="s">
        <v>56</v>
      </c>
      <c r="W272" s="19" t="s">
        <v>57</v>
      </c>
      <c r="X272" s="19" t="s">
        <v>58</v>
      </c>
      <c r="Y272" s="19"/>
      <c r="Z272" s="19" t="s">
        <v>1412</v>
      </c>
      <c r="AA272" s="19">
        <v>1</v>
      </c>
      <c r="AB272" s="19">
        <v>1</v>
      </c>
      <c r="AC272" s="19" t="s">
        <v>60</v>
      </c>
      <c r="AD272" s="19" t="s">
        <v>119</v>
      </c>
      <c r="AE272" s="19" t="s">
        <v>1139</v>
      </c>
      <c r="AF272" s="19" t="s">
        <v>1413</v>
      </c>
    </row>
    <row r="273" spans="1:34">
      <c r="A273" s="19">
        <v>265</v>
      </c>
      <c r="B273" s="19" t="s">
        <v>1402</v>
      </c>
      <c r="C273" s="19" t="s">
        <v>549</v>
      </c>
      <c r="D273" s="19" t="str">
        <f>HYPERLINK("http://www.henontech.com/fieldsafety/harzard/harzard_show.php?rid=3543&amp;url=harzardrecs.php","一名职工在巡检测氧仪过程中上部照明灯自由接线盒断裂灯罩掉落砸到职工头部造成轻微擦伤，经医务室简单处理后继续上班")</f>
        <v>一名职工在巡检测氧仪过程中上部照明灯自由接线盒断裂灯罩掉落砸到职工头部造成轻微擦伤，经医务室简单处理后继续上班</v>
      </c>
      <c r="E273" s="19" t="s">
        <v>1414</v>
      </c>
      <c r="F273" s="20" t="s">
        <v>42</v>
      </c>
      <c r="G273" s="21" t="s">
        <v>43</v>
      </c>
      <c r="H273" s="19" t="s">
        <v>44</v>
      </c>
      <c r="I273" s="19" t="s">
        <v>45</v>
      </c>
      <c r="J273" s="19" t="s">
        <v>46</v>
      </c>
      <c r="K273" s="19" t="s">
        <v>145</v>
      </c>
      <c r="L273" s="19" t="s">
        <v>48</v>
      </c>
      <c r="M273" s="19" t="s">
        <v>70</v>
      </c>
      <c r="N273" s="19" t="s">
        <v>454</v>
      </c>
      <c r="O273" s="19" t="s">
        <v>70</v>
      </c>
      <c r="P273" s="19" t="s">
        <v>72</v>
      </c>
      <c r="Q273" s="19" t="s">
        <v>1415</v>
      </c>
      <c r="R273" s="19" t="s">
        <v>1416</v>
      </c>
      <c r="S273" s="19"/>
      <c r="T273" s="19" t="s">
        <v>54</v>
      </c>
      <c r="U273" s="19" t="s">
        <v>192</v>
      </c>
      <c r="V273" s="19" t="s">
        <v>271</v>
      </c>
      <c r="W273" s="19" t="s">
        <v>77</v>
      </c>
      <c r="X273" s="19"/>
      <c r="Y273" s="19"/>
      <c r="Z273" s="19" t="s">
        <v>1417</v>
      </c>
      <c r="AA273" s="19">
        <v>1</v>
      </c>
      <c r="AB273" s="19">
        <v>1</v>
      </c>
      <c r="AC273" s="19" t="s">
        <v>60</v>
      </c>
      <c r="AD273" s="19" t="s">
        <v>72</v>
      </c>
      <c r="AE273" s="19" t="s">
        <v>1074</v>
      </c>
      <c r="AF273" s="19"/>
    </row>
    <row r="274" spans="1:34" customHeight="1" ht="42">
      <c r="A274" s="19">
        <v>266</v>
      </c>
      <c r="B274" s="19" t="s">
        <v>1402</v>
      </c>
      <c r="C274" s="19" t="s">
        <v>1418</v>
      </c>
      <c r="D274" s="19" t="str">
        <f>HYPERLINK("http://www.henontech.com/fieldsafety/harzard/harzard_show.php?rid=3549&amp;url=harzardrecs.php","筛焦楼1号放焦观察口无防护装置，一名操作人员工作时没注意脚下，一只脚踩到观察口处，人员歪倒致使尾骨受伤。")</f>
        <v>筛焦楼1号放焦观察口无防护装置，一名操作人员工作时没注意脚下，一只脚踩到观察口处，人员歪倒致使尾骨受伤。</v>
      </c>
      <c r="E274" s="19" t="s">
        <v>1419</v>
      </c>
      <c r="F274" s="20" t="s">
        <v>42</v>
      </c>
      <c r="G274" s="21" t="s">
        <v>43</v>
      </c>
      <c r="H274" s="19" t="s">
        <v>44</v>
      </c>
      <c r="I274" s="19" t="s">
        <v>45</v>
      </c>
      <c r="J274" s="19" t="s">
        <v>46</v>
      </c>
      <c r="K274" s="19" t="s">
        <v>145</v>
      </c>
      <c r="L274" s="19" t="s">
        <v>48</v>
      </c>
      <c r="M274" s="19" t="s">
        <v>117</v>
      </c>
      <c r="N274" s="19" t="s">
        <v>1420</v>
      </c>
      <c r="O274" s="19" t="s">
        <v>117</v>
      </c>
      <c r="P274" s="19" t="s">
        <v>224</v>
      </c>
      <c r="Q274" s="19" t="s">
        <v>1241</v>
      </c>
      <c r="R274" s="19" t="s">
        <v>1421</v>
      </c>
      <c r="S274" s="19"/>
      <c r="T274" s="19" t="s">
        <v>54</v>
      </c>
      <c r="U274" s="19" t="s">
        <v>55</v>
      </c>
      <c r="V274" s="19" t="s">
        <v>56</v>
      </c>
      <c r="W274" s="19" t="s">
        <v>57</v>
      </c>
      <c r="X274" s="19" t="s">
        <v>123</v>
      </c>
      <c r="Y274" s="19"/>
      <c r="Z274" s="19" t="s">
        <v>1422</v>
      </c>
      <c r="AA274" s="19">
        <v>2</v>
      </c>
      <c r="AB274" s="19">
        <v>2</v>
      </c>
      <c r="AC274" s="19" t="s">
        <v>60</v>
      </c>
      <c r="AD274" s="19" t="s">
        <v>224</v>
      </c>
      <c r="AE274" s="19" t="s">
        <v>1080</v>
      </c>
      <c r="AF274" s="19"/>
    </row>
    <row r="275" spans="1:34" customHeight="1" ht="42">
      <c r="A275" s="19">
        <v>267</v>
      </c>
      <c r="B275" s="19" t="s">
        <v>1402</v>
      </c>
      <c r="C275" s="19" t="s">
        <v>1423</v>
      </c>
      <c r="D275" s="19" t="str">
        <f>HYPERLINK("http://www.henontech.com/fieldsafety/harzard/harzard_show.php?rid=3550&amp;url=harzardrecs.php","一名操作工在煤场巡查作业期间，不慎被煤棚上方坠落物砸伤肩部，导致左手肩部骨折。治疗一个月，在家休养四个月。")</f>
        <v>一名操作工在煤场巡查作业期间，不慎被煤棚上方坠落物砸伤肩部，导致左手肩部骨折。治疗一个月，在家休养四个月。</v>
      </c>
      <c r="E275" s="19" t="s">
        <v>1424</v>
      </c>
      <c r="F275" s="20" t="s">
        <v>42</v>
      </c>
      <c r="G275" s="21" t="s">
        <v>43</v>
      </c>
      <c r="H275" s="19" t="s">
        <v>875</v>
      </c>
      <c r="I275" s="19" t="s">
        <v>67</v>
      </c>
      <c r="J275" s="19" t="s">
        <v>46</v>
      </c>
      <c r="K275" s="19" t="s">
        <v>47</v>
      </c>
      <c r="L275" s="19" t="s">
        <v>48</v>
      </c>
      <c r="M275" s="19" t="s">
        <v>285</v>
      </c>
      <c r="N275" s="19" t="s">
        <v>1425</v>
      </c>
      <c r="O275" s="19" t="s">
        <v>285</v>
      </c>
      <c r="P275" s="19" t="s">
        <v>617</v>
      </c>
      <c r="Q275" s="19" t="s">
        <v>1322</v>
      </c>
      <c r="R275" s="19" t="s">
        <v>1426</v>
      </c>
      <c r="S275" s="19"/>
      <c r="T275" s="19" t="s">
        <v>54</v>
      </c>
      <c r="U275" s="19" t="s">
        <v>55</v>
      </c>
      <c r="V275" s="19" t="s">
        <v>101</v>
      </c>
      <c r="W275" s="19" t="s">
        <v>138</v>
      </c>
      <c r="X275" s="19" t="s">
        <v>235</v>
      </c>
      <c r="Y275" s="19" t="s">
        <v>235</v>
      </c>
      <c r="Z275" s="19" t="s">
        <v>1427</v>
      </c>
      <c r="AA275" s="19">
        <v>2</v>
      </c>
      <c r="AB275" s="19">
        <v>2</v>
      </c>
      <c r="AC275" s="19" t="s">
        <v>60</v>
      </c>
      <c r="AD275" s="19" t="s">
        <v>617</v>
      </c>
      <c r="AE275" s="19" t="s">
        <v>1139</v>
      </c>
      <c r="AF275" s="19"/>
    </row>
    <row r="276" spans="1:34">
      <c r="A276" s="19">
        <v>268</v>
      </c>
      <c r="B276" s="19" t="s">
        <v>1428</v>
      </c>
      <c r="C276" s="19" t="s">
        <v>1090</v>
      </c>
      <c r="D276" s="19" t="str">
        <f>HYPERLINK("http://www.henontech.com/fieldsafety/harzard/harzard_show.php?rid=3562&amp;url=harzardrecs.php","预冷塔东侧消防箱因箱底腐烂，导致灭火器掉落，两个灭火器底座损坏！损失200元！")</f>
        <v>预冷塔东侧消防箱因箱底腐烂，导致灭火器掉落，两个灭火器底座损坏！损失200元！</v>
      </c>
      <c r="E276" s="19" t="s">
        <v>1429</v>
      </c>
      <c r="F276" s="20" t="s">
        <v>42</v>
      </c>
      <c r="G276" s="21" t="s">
        <v>43</v>
      </c>
      <c r="H276" s="19" t="s">
        <v>44</v>
      </c>
      <c r="I276" s="19" t="s">
        <v>67</v>
      </c>
      <c r="J276" s="19" t="s">
        <v>46</v>
      </c>
      <c r="K276" s="19" t="s">
        <v>69</v>
      </c>
      <c r="L276" s="19" t="s">
        <v>48</v>
      </c>
      <c r="M276" s="19" t="s">
        <v>70</v>
      </c>
      <c r="N276" s="19" t="s">
        <v>564</v>
      </c>
      <c r="O276" s="19" t="s">
        <v>70</v>
      </c>
      <c r="P276" s="19" t="s">
        <v>72</v>
      </c>
      <c r="Q276" s="19" t="s">
        <v>1430</v>
      </c>
      <c r="R276" s="19" t="s">
        <v>1431</v>
      </c>
      <c r="S276" s="19"/>
      <c r="T276" s="19" t="s">
        <v>100</v>
      </c>
      <c r="U276" s="19" t="s">
        <v>192</v>
      </c>
      <c r="V276" s="19" t="s">
        <v>101</v>
      </c>
      <c r="W276" s="19" t="s">
        <v>77</v>
      </c>
      <c r="X276" s="19"/>
      <c r="Y276" s="19"/>
      <c r="Z276" s="19" t="s">
        <v>1432</v>
      </c>
      <c r="AA276" s="19">
        <v>1</v>
      </c>
      <c r="AB276" s="19">
        <v>1</v>
      </c>
      <c r="AC276" s="19" t="s">
        <v>60</v>
      </c>
      <c r="AD276" s="19" t="s">
        <v>72</v>
      </c>
      <c r="AE276" s="19" t="s">
        <v>1202</v>
      </c>
      <c r="AF276" s="19"/>
    </row>
    <row r="277" spans="1:34">
      <c r="A277" s="19">
        <v>269</v>
      </c>
      <c r="B277" s="19" t="s">
        <v>1433</v>
      </c>
      <c r="C277" s="19" t="s">
        <v>1434</v>
      </c>
      <c r="D277" s="19" t="str">
        <f>HYPERLINK("http://www.henontech.com/fieldsafety/harzard/harzard_show.php?rid=3566&amp;url=harzardrecs.php","配电室楼顶接地极脱落，起不到避雷作用，易造成设备损坏")</f>
        <v>配电室楼顶接地极脱落，起不到避雷作用，易造成设备损坏</v>
      </c>
      <c r="E277" s="19" t="s">
        <v>1435</v>
      </c>
      <c r="F277" s="24" t="s">
        <v>387</v>
      </c>
      <c r="G277" s="21" t="s">
        <v>43</v>
      </c>
      <c r="H277" s="19" t="s">
        <v>44</v>
      </c>
      <c r="I277" s="19" t="s">
        <v>83</v>
      </c>
      <c r="J277" s="19" t="s">
        <v>46</v>
      </c>
      <c r="K277" s="19" t="s">
        <v>69</v>
      </c>
      <c r="L277" s="19" t="s">
        <v>48</v>
      </c>
      <c r="M277" s="19" t="s">
        <v>84</v>
      </c>
      <c r="N277" s="19" t="s">
        <v>1436</v>
      </c>
      <c r="O277" s="19"/>
      <c r="P277" s="19"/>
      <c r="Q277" s="19"/>
      <c r="R277" s="19" t="s">
        <v>1437</v>
      </c>
      <c r="S277" s="19" t="s">
        <v>42</v>
      </c>
      <c r="T277" s="19" t="s">
        <v>100</v>
      </c>
      <c r="U277" s="19" t="s">
        <v>192</v>
      </c>
      <c r="V277" s="19" t="s">
        <v>101</v>
      </c>
      <c r="W277" s="19" t="s">
        <v>77</v>
      </c>
      <c r="X277" s="19"/>
      <c r="Y277" s="19"/>
      <c r="Z277" s="19"/>
      <c r="AA277" s="19">
        <v>0</v>
      </c>
      <c r="AB277" s="19"/>
      <c r="AC277" s="19" t="s">
        <v>392</v>
      </c>
      <c r="AD277" s="19"/>
      <c r="AE277" s="19"/>
      <c r="AF277" s="19"/>
    </row>
    <row r="278" spans="1:34" customHeight="1" ht="42">
      <c r="A278" s="19">
        <v>270</v>
      </c>
      <c r="B278" s="19" t="s">
        <v>1438</v>
      </c>
      <c r="C278" s="19" t="s">
        <v>1418</v>
      </c>
      <c r="D278" s="19" t="str">
        <f>HYPERLINK("http://www.henontech.com/fieldsafety/harzard/harzard_show.php?rid=3573&amp;url=harzardrecs.php","一筛焦楼操作工在查看焦仓料位时，脚站在焦仓盖板上，因盖板年久腐烂变型，不慎将盖板踩翻坠入焦仓，发现后紧急救出送医")</f>
        <v>一筛焦楼操作工在查看焦仓料位时，脚站在焦仓盖板上，因盖板年久腐烂变型，不慎将盖板踩翻坠入焦仓，发现后紧急救出送医</v>
      </c>
      <c r="E278" s="19" t="s">
        <v>1439</v>
      </c>
      <c r="F278" s="20" t="s">
        <v>42</v>
      </c>
      <c r="G278" s="21" t="s">
        <v>43</v>
      </c>
      <c r="H278" s="19" t="s">
        <v>44</v>
      </c>
      <c r="I278" s="19" t="s">
        <v>83</v>
      </c>
      <c r="J278" s="19" t="s">
        <v>68</v>
      </c>
      <c r="K278" s="19" t="s">
        <v>145</v>
      </c>
      <c r="L278" s="19" t="s">
        <v>48</v>
      </c>
      <c r="M278" s="19" t="s">
        <v>117</v>
      </c>
      <c r="N278" s="19" t="s">
        <v>1440</v>
      </c>
      <c r="O278" s="19" t="s">
        <v>117</v>
      </c>
      <c r="P278" s="19" t="s">
        <v>1198</v>
      </c>
      <c r="Q278" s="19" t="s">
        <v>1241</v>
      </c>
      <c r="R278" s="19" t="s">
        <v>1441</v>
      </c>
      <c r="S278" s="19"/>
      <c r="T278" s="19" t="s">
        <v>54</v>
      </c>
      <c r="U278" s="19" t="s">
        <v>121</v>
      </c>
      <c r="V278" s="19" t="s">
        <v>56</v>
      </c>
      <c r="W278" s="19" t="s">
        <v>122</v>
      </c>
      <c r="X278" s="19" t="s">
        <v>123</v>
      </c>
      <c r="Y278" s="19"/>
      <c r="Z278" s="19" t="s">
        <v>1442</v>
      </c>
      <c r="AA278" s="19">
        <v>2</v>
      </c>
      <c r="AB278" s="19">
        <v>2</v>
      </c>
      <c r="AC278" s="19" t="s">
        <v>60</v>
      </c>
      <c r="AD278" s="19" t="s">
        <v>1198</v>
      </c>
      <c r="AE278" s="19" t="s">
        <v>1202</v>
      </c>
      <c r="AF278" s="19"/>
    </row>
    <row r="279" spans="1:34" customHeight="1" ht="42">
      <c r="A279" s="19">
        <v>271</v>
      </c>
      <c r="B279" s="19" t="s">
        <v>1438</v>
      </c>
      <c r="C279" s="19" t="s">
        <v>1238</v>
      </c>
      <c r="D279" s="19" t="str">
        <f>HYPERLINK("http://www.henontech.com/fieldsafety/harzard/harzard_show.php?rid=3574&amp;url=harzardrecs.php","维修工检修熄焦车斗，上下爬梯时由于爬梯变形没有扶手，手未抓牢，跌落至3米高的地面，腰部跌落在道轨上，及时送医治疗，确诊为腰椎3节骨折，住院治疗一个月，回家休养六个月复工")</f>
        <v>维修工检修熄焦车斗，上下爬梯时由于爬梯变形没有扶手，手未抓牢，跌落至3米高的地面，腰部跌落在道轨上，及时送医治疗，确诊为腰椎3节骨折，住院治疗一个月，回家休养六个月复工</v>
      </c>
      <c r="E279" s="19" t="s">
        <v>1443</v>
      </c>
      <c r="F279" s="20" t="s">
        <v>42</v>
      </c>
      <c r="G279" s="21" t="s">
        <v>43</v>
      </c>
      <c r="H279" s="19" t="s">
        <v>44</v>
      </c>
      <c r="I279" s="19" t="s">
        <v>67</v>
      </c>
      <c r="J279" s="19" t="s">
        <v>46</v>
      </c>
      <c r="K279" s="19" t="s">
        <v>166</v>
      </c>
      <c r="L279" s="19" t="s">
        <v>48</v>
      </c>
      <c r="M279" s="19" t="s">
        <v>117</v>
      </c>
      <c r="N279" s="19" t="s">
        <v>1444</v>
      </c>
      <c r="O279" s="19" t="s">
        <v>117</v>
      </c>
      <c r="P279" s="19" t="s">
        <v>224</v>
      </c>
      <c r="Q279" s="19" t="s">
        <v>1241</v>
      </c>
      <c r="R279" s="19" t="s">
        <v>1445</v>
      </c>
      <c r="S279" s="19"/>
      <c r="T279" s="19" t="s">
        <v>54</v>
      </c>
      <c r="U279" s="19" t="s">
        <v>55</v>
      </c>
      <c r="V279" s="19" t="s">
        <v>56</v>
      </c>
      <c r="W279" s="19" t="s">
        <v>57</v>
      </c>
      <c r="X279" s="19" t="s">
        <v>123</v>
      </c>
      <c r="Y279" s="19"/>
      <c r="Z279" s="19" t="s">
        <v>1446</v>
      </c>
      <c r="AA279" s="19">
        <v>2</v>
      </c>
      <c r="AB279" s="19">
        <v>2</v>
      </c>
      <c r="AC279" s="19" t="s">
        <v>60</v>
      </c>
      <c r="AD279" s="19" t="s">
        <v>224</v>
      </c>
      <c r="AE279" s="19" t="s">
        <v>1074</v>
      </c>
      <c r="AF279" s="19"/>
    </row>
    <row r="280" spans="1:34" customHeight="1" ht="42">
      <c r="A280" s="19">
        <v>272</v>
      </c>
      <c r="B280" s="19" t="s">
        <v>1438</v>
      </c>
      <c r="C280" s="19" t="s">
        <v>1447</v>
      </c>
      <c r="D280" s="19" t="str">
        <f>HYPERLINK("http://www.henontech.com/fieldsafety/harzard/harzard_show.php?rid=3576&amp;url=harzardrecs.php","一人给转动的无防护罩的联轴器注油时，人员右胳臂衣袖过长不慎被联轴器卷入，越卷越紧，最后连同右胳臂一同卷入当场被挤碎，幸亏同伴及时发现停车将其送医，经手术后切除右臂，住院三个月后回家修养，失去工作能力。")</f>
        <v>一人给转动的无防护罩的联轴器注油时，人员右胳臂衣袖过长不慎被联轴器卷入，越卷越紧，最后连同右胳臂一同卷入当场被挤碎，幸亏同伴及时发现停车将其送医，经手术后切除右臂，住院三个月后回家修养，失去工作能力。</v>
      </c>
      <c r="E280" s="19" t="s">
        <v>1448</v>
      </c>
      <c r="F280" s="20" t="s">
        <v>42</v>
      </c>
      <c r="G280" s="21" t="s">
        <v>43</v>
      </c>
      <c r="H280" s="19" t="s">
        <v>44</v>
      </c>
      <c r="I280" s="19" t="s">
        <v>67</v>
      </c>
      <c r="J280" s="19" t="s">
        <v>46</v>
      </c>
      <c r="K280" s="19" t="s">
        <v>47</v>
      </c>
      <c r="L280" s="19" t="s">
        <v>573</v>
      </c>
      <c r="M280" s="19" t="s">
        <v>117</v>
      </c>
      <c r="N280" s="19" t="s">
        <v>1449</v>
      </c>
      <c r="O280" s="19" t="s">
        <v>117</v>
      </c>
      <c r="P280" s="19" t="s">
        <v>224</v>
      </c>
      <c r="Q280" s="19" t="s">
        <v>1241</v>
      </c>
      <c r="R280" s="19" t="s">
        <v>1450</v>
      </c>
      <c r="S280" s="19"/>
      <c r="T280" s="19" t="s">
        <v>54</v>
      </c>
      <c r="U280" s="19" t="s">
        <v>55</v>
      </c>
      <c r="V280" s="19" t="s">
        <v>56</v>
      </c>
      <c r="W280" s="19" t="s">
        <v>57</v>
      </c>
      <c r="X280" s="19" t="s">
        <v>58</v>
      </c>
      <c r="Y280" s="19"/>
      <c r="Z280" s="19" t="s">
        <v>1451</v>
      </c>
      <c r="AA280" s="19">
        <v>2</v>
      </c>
      <c r="AB280" s="19">
        <v>2</v>
      </c>
      <c r="AC280" s="19" t="s">
        <v>60</v>
      </c>
      <c r="AD280" s="19" t="s">
        <v>224</v>
      </c>
      <c r="AE280" s="19" t="s">
        <v>1074</v>
      </c>
      <c r="AF280" s="19"/>
    </row>
    <row r="281" spans="1:34" customHeight="1" ht="42">
      <c r="A281" s="19">
        <v>273</v>
      </c>
      <c r="B281" s="19" t="s">
        <v>1438</v>
      </c>
      <c r="C281" s="19" t="s">
        <v>1418</v>
      </c>
      <c r="D281" s="19" t="str">
        <f>HYPERLINK("http://www.henontech.com/fieldsafety/harzard/harzard_show.php?rid=3577&amp;url=harzardrecs.php","焦四后尾缺少护栏，操作工清理卫生，在清理过成中不慎被皮带滚筒卷入衣服，在拖拽时手臂被卷入造成伤害，送入医院被确诊手臂骨裂脱臼，住院治疗三个月，回家修养五个月。")</f>
        <v>焦四后尾缺少护栏，操作工清理卫生，在清理过成中不慎被皮带滚筒卷入衣服，在拖拽时手臂被卷入造成伤害，送入医院被确诊手臂骨裂脱臼，住院治疗三个月，回家修养五个月。</v>
      </c>
      <c r="E281" s="19" t="s">
        <v>1452</v>
      </c>
      <c r="F281" s="20" t="s">
        <v>42</v>
      </c>
      <c r="G281" s="21" t="s">
        <v>43</v>
      </c>
      <c r="H281" s="19" t="s">
        <v>44</v>
      </c>
      <c r="I281" s="19" t="s">
        <v>67</v>
      </c>
      <c r="J281" s="19" t="s">
        <v>46</v>
      </c>
      <c r="K281" s="19" t="s">
        <v>145</v>
      </c>
      <c r="L281" s="19" t="s">
        <v>48</v>
      </c>
      <c r="M281" s="19" t="s">
        <v>117</v>
      </c>
      <c r="N281" s="19" t="s">
        <v>1453</v>
      </c>
      <c r="O281" s="19" t="s">
        <v>117</v>
      </c>
      <c r="P281" s="19" t="s">
        <v>287</v>
      </c>
      <c r="Q281" s="19" t="s">
        <v>1241</v>
      </c>
      <c r="R281" s="19" t="s">
        <v>1454</v>
      </c>
      <c r="S281" s="19" t="s">
        <v>1455</v>
      </c>
      <c r="T281" s="19" t="s">
        <v>54</v>
      </c>
      <c r="U281" s="19" t="s">
        <v>55</v>
      </c>
      <c r="V281" s="19" t="s">
        <v>56</v>
      </c>
      <c r="W281" s="19" t="s">
        <v>57</v>
      </c>
      <c r="X281" s="19" t="s">
        <v>123</v>
      </c>
      <c r="Y281" s="19"/>
      <c r="Z281" s="19" t="s">
        <v>1456</v>
      </c>
      <c r="AA281" s="19">
        <v>2</v>
      </c>
      <c r="AB281" s="19">
        <v>2</v>
      </c>
      <c r="AC281" s="19" t="s">
        <v>60</v>
      </c>
      <c r="AD281" s="19" t="s">
        <v>287</v>
      </c>
      <c r="AE281" s="19" t="s">
        <v>1074</v>
      </c>
      <c r="AF281" s="19"/>
    </row>
    <row r="282" spans="1:34" customHeight="1" ht="42">
      <c r="A282" s="19">
        <v>274</v>
      </c>
      <c r="B282" s="19" t="s">
        <v>1457</v>
      </c>
      <c r="C282" s="19" t="s">
        <v>1458</v>
      </c>
      <c r="D282" s="19" t="str">
        <f>HYPERLINK("http://www.henontech.com/fieldsafety/harzard/harzard_show.php?rid=3582&amp;url=harzardrecs.php","一操作工在夜间下爬梯时，因此处未有照明灯不惧左脚踩空跌落在爬梯下面，导致腰部撞到除尘风机电机底座上，及时送医院检查诊断为腰部三节腰椎骨骨折，住院治疗1个月后回家休养3个月复工。")</f>
        <v>一操作工在夜间下爬梯时，因此处未有照明灯不惧左脚踩空跌落在爬梯下面，导致腰部撞到除尘风机电机底座上，及时送医院检查诊断为腰部三节腰椎骨骨折，住院治疗1个月后回家休养3个月复工。</v>
      </c>
      <c r="E282" s="19" t="s">
        <v>1459</v>
      </c>
      <c r="F282" s="20" t="s">
        <v>42</v>
      </c>
      <c r="G282" s="21" t="s">
        <v>43</v>
      </c>
      <c r="H282" s="19" t="s">
        <v>44</v>
      </c>
      <c r="I282" s="19" t="s">
        <v>83</v>
      </c>
      <c r="J282" s="19" t="s">
        <v>46</v>
      </c>
      <c r="K282" s="19" t="s">
        <v>47</v>
      </c>
      <c r="L282" s="19" t="s">
        <v>48</v>
      </c>
      <c r="M282" s="19" t="s">
        <v>117</v>
      </c>
      <c r="N282" s="19" t="s">
        <v>488</v>
      </c>
      <c r="O282" s="19" t="s">
        <v>117</v>
      </c>
      <c r="P282" s="19" t="s">
        <v>224</v>
      </c>
      <c r="Q282" s="19" t="s">
        <v>1241</v>
      </c>
      <c r="R282" s="19" t="s">
        <v>1460</v>
      </c>
      <c r="S282" s="19"/>
      <c r="T282" s="19" t="s">
        <v>54</v>
      </c>
      <c r="U282" s="19" t="s">
        <v>55</v>
      </c>
      <c r="V282" s="19" t="s">
        <v>56</v>
      </c>
      <c r="W282" s="19" t="s">
        <v>57</v>
      </c>
      <c r="X282" s="19" t="s">
        <v>123</v>
      </c>
      <c r="Y282" s="19"/>
      <c r="Z282" s="19" t="s">
        <v>1461</v>
      </c>
      <c r="AA282" s="19">
        <v>2</v>
      </c>
      <c r="AB282" s="19">
        <v>2</v>
      </c>
      <c r="AC282" s="19" t="s">
        <v>60</v>
      </c>
      <c r="AD282" s="19" t="s">
        <v>224</v>
      </c>
      <c r="AE282" s="19" t="s">
        <v>1132</v>
      </c>
      <c r="AF282" s="19" t="s">
        <v>1462</v>
      </c>
    </row>
    <row r="283" spans="1:34">
      <c r="A283" s="19">
        <v>275</v>
      </c>
      <c r="B283" s="19" t="s">
        <v>1220</v>
      </c>
      <c r="C283" s="19" t="s">
        <v>1463</v>
      </c>
      <c r="D283" s="19" t="str">
        <f>HYPERLINK("http://www.henontech.com/fieldsafety/harzard/harzard_show.php?rid=3618&amp;url=harzardrecs.php","循环水新凉水架爬梯护栏锈蚀损坏，如果一名操作工在下爬梯时不注意，被右侧锈蚀的护栏划伤右腿，轻微人身伤害，不影响工作")</f>
        <v>循环水新凉水架爬梯护栏锈蚀损坏，如果一名操作工在下爬梯时不注意，被右侧锈蚀的护栏划伤右腿，轻微人身伤害，不影响工作</v>
      </c>
      <c r="E283" s="19" t="s">
        <v>1464</v>
      </c>
      <c r="F283" s="20" t="s">
        <v>42</v>
      </c>
      <c r="G283" s="21" t="s">
        <v>43</v>
      </c>
      <c r="H283" s="19" t="s">
        <v>44</v>
      </c>
      <c r="I283" s="19"/>
      <c r="J283" s="19"/>
      <c r="K283" s="19" t="s">
        <v>69</v>
      </c>
      <c r="L283" s="19" t="s">
        <v>48</v>
      </c>
      <c r="M283" s="19" t="s">
        <v>70</v>
      </c>
      <c r="N283" s="19" t="s">
        <v>268</v>
      </c>
      <c r="O283" s="19" t="s">
        <v>70</v>
      </c>
      <c r="P283" s="19" t="s">
        <v>72</v>
      </c>
      <c r="Q283" s="19" t="s">
        <v>1465</v>
      </c>
      <c r="R283" s="19" t="s">
        <v>1466</v>
      </c>
      <c r="S283" s="19"/>
      <c r="T283" s="19" t="s">
        <v>54</v>
      </c>
      <c r="U283" s="19" t="s">
        <v>75</v>
      </c>
      <c r="V283" s="19" t="s">
        <v>56</v>
      </c>
      <c r="W283" s="19" t="s">
        <v>138</v>
      </c>
      <c r="X283" s="19"/>
      <c r="Y283" s="19"/>
      <c r="Z283" s="19" t="s">
        <v>1467</v>
      </c>
      <c r="AA283" s="19">
        <v>1</v>
      </c>
      <c r="AB283" s="19">
        <v>1</v>
      </c>
      <c r="AC283" s="19" t="s">
        <v>60</v>
      </c>
      <c r="AD283" s="19" t="s">
        <v>72</v>
      </c>
      <c r="AE283" s="19" t="s">
        <v>1080</v>
      </c>
      <c r="AF283" s="19"/>
    </row>
    <row r="284" spans="1:34" customHeight="1" ht="42">
      <c r="A284" s="19">
        <v>276</v>
      </c>
      <c r="B284" s="19" t="s">
        <v>1220</v>
      </c>
      <c r="C284" s="19" t="s">
        <v>1423</v>
      </c>
      <c r="D284" s="19" t="str">
        <f>HYPERLINK("http://www.henontech.com/fieldsafety/harzard/harzard_show.php?rid=3624&amp;url=harzardrecs.php","3号料口水泥地面钢筋外露   一人员经过是不慎被外露的钢筋绊倒   扭伤右脚脚踝   休息一会不影响工作")</f>
        <v>3号料口水泥地面钢筋外露   一人员经过是不慎被外露的钢筋绊倒   扭伤右脚脚踝   休息一会不影响工作</v>
      </c>
      <c r="E284" s="19" t="s">
        <v>1468</v>
      </c>
      <c r="F284" s="20" t="s">
        <v>42</v>
      </c>
      <c r="G284" s="21" t="s">
        <v>43</v>
      </c>
      <c r="H284" s="19" t="s">
        <v>44</v>
      </c>
      <c r="I284" s="19" t="s">
        <v>45</v>
      </c>
      <c r="J284" s="19" t="s">
        <v>401</v>
      </c>
      <c r="K284" s="19" t="s">
        <v>69</v>
      </c>
      <c r="L284" s="19"/>
      <c r="M284" s="19" t="s">
        <v>285</v>
      </c>
      <c r="N284" s="19" t="s">
        <v>1469</v>
      </c>
      <c r="O284" s="19" t="s">
        <v>285</v>
      </c>
      <c r="P284" s="19" t="s">
        <v>617</v>
      </c>
      <c r="Q284" s="19" t="s">
        <v>1322</v>
      </c>
      <c r="R284" s="19" t="s">
        <v>1470</v>
      </c>
      <c r="S284" s="19"/>
      <c r="T284" s="19" t="s">
        <v>54</v>
      </c>
      <c r="U284" s="19" t="s">
        <v>75</v>
      </c>
      <c r="V284" s="19" t="s">
        <v>101</v>
      </c>
      <c r="W284" s="19" t="s">
        <v>77</v>
      </c>
      <c r="X284" s="19" t="s">
        <v>235</v>
      </c>
      <c r="Y284" s="19" t="s">
        <v>235</v>
      </c>
      <c r="Z284" s="19" t="s">
        <v>1471</v>
      </c>
      <c r="AA284" s="19">
        <v>2</v>
      </c>
      <c r="AB284" s="19">
        <v>2</v>
      </c>
      <c r="AC284" s="19" t="s">
        <v>60</v>
      </c>
      <c r="AD284" s="19" t="s">
        <v>617</v>
      </c>
      <c r="AE284" s="19" t="s">
        <v>1139</v>
      </c>
      <c r="AF284" s="19"/>
    </row>
    <row r="285" spans="1:34" customHeight="1" ht="42">
      <c r="A285" s="19">
        <v>277</v>
      </c>
      <c r="B285" s="19" t="s">
        <v>1225</v>
      </c>
      <c r="C285" s="19" t="s">
        <v>1472</v>
      </c>
      <c r="D285" s="19" t="str">
        <f>HYPERLINK("http://www.henontech.com/fieldsafety/harzard/harzard_show.php?rid=3633&amp;url=harzardrecs.php","一名操作工站在2米左右除尘电机齿轮箱旁加油时不慎掉下来造成左小腿腿骨折其他人员找来木板给伤者简单固定后，及时送往医院就医。")</f>
        <v>一名操作工站在2米左右除尘电机齿轮箱旁加油时不慎掉下来造成左小腿腿骨折其他人员找来木板给伤者简单固定后，及时送往医院就医。</v>
      </c>
      <c r="E285" s="19" t="s">
        <v>1473</v>
      </c>
      <c r="F285" s="20" t="s">
        <v>42</v>
      </c>
      <c r="G285" s="22" t="s">
        <v>66</v>
      </c>
      <c r="H285" s="19" t="s">
        <v>44</v>
      </c>
      <c r="I285" s="19"/>
      <c r="J285" s="19" t="s">
        <v>46</v>
      </c>
      <c r="K285" s="19" t="s">
        <v>69</v>
      </c>
      <c r="L285" s="19"/>
      <c r="M285" s="19" t="s">
        <v>117</v>
      </c>
      <c r="N285" s="19" t="s">
        <v>1256</v>
      </c>
      <c r="O285" s="19" t="s">
        <v>117</v>
      </c>
      <c r="P285" s="19" t="s">
        <v>1198</v>
      </c>
      <c r="Q285" s="19" t="s">
        <v>1465</v>
      </c>
      <c r="R285" s="19" t="s">
        <v>1474</v>
      </c>
      <c r="S285" s="19"/>
      <c r="T285" s="19" t="s">
        <v>54</v>
      </c>
      <c r="U285" s="19" t="s">
        <v>55</v>
      </c>
      <c r="V285" s="19" t="s">
        <v>101</v>
      </c>
      <c r="W285" s="19" t="s">
        <v>138</v>
      </c>
      <c r="X285" s="19" t="s">
        <v>123</v>
      </c>
      <c r="Y285" s="19"/>
      <c r="Z285" s="19" t="s">
        <v>1475</v>
      </c>
      <c r="AA285" s="19">
        <v>2</v>
      </c>
      <c r="AB285" s="19">
        <v>2</v>
      </c>
      <c r="AC285" s="19" t="s">
        <v>60</v>
      </c>
      <c r="AD285" s="19" t="s">
        <v>1198</v>
      </c>
      <c r="AE285" s="19" t="s">
        <v>1080</v>
      </c>
      <c r="AF285" s="19"/>
    </row>
    <row r="286" spans="1:34" customHeight="1" ht="42">
      <c r="A286" s="19">
        <v>278</v>
      </c>
      <c r="B286" s="19" t="s">
        <v>1225</v>
      </c>
      <c r="C286" s="19" t="s">
        <v>1472</v>
      </c>
      <c r="D286" s="19" t="str">
        <f>HYPERLINK("http://www.henontech.com/fieldsafety/harzard/harzard_show.php?rid=3635&amp;url=harzardrecs.php","一名操作工巡检下爬梯时，因爬梯陡，脚底打滑不慎踩空跌落下来摔伤又小腿，送医检查腿骨骨折，住院治疗一月，休息一月。")</f>
        <v>一名操作工巡检下爬梯时，因爬梯陡，脚底打滑不慎踩空跌落下来摔伤又小腿，送医检查腿骨骨折，住院治疗一月，休息一月。</v>
      </c>
      <c r="E286" s="19" t="s">
        <v>1476</v>
      </c>
      <c r="F286" s="20" t="s">
        <v>42</v>
      </c>
      <c r="G286" s="22" t="s">
        <v>66</v>
      </c>
      <c r="H286" s="19" t="s">
        <v>44</v>
      </c>
      <c r="I286" s="19" t="s">
        <v>83</v>
      </c>
      <c r="J286" s="19" t="s">
        <v>68</v>
      </c>
      <c r="K286" s="19" t="s">
        <v>69</v>
      </c>
      <c r="L286" s="19" t="s">
        <v>48</v>
      </c>
      <c r="M286" s="19" t="s">
        <v>117</v>
      </c>
      <c r="N286" s="19" t="s">
        <v>1097</v>
      </c>
      <c r="O286" s="19" t="s">
        <v>117</v>
      </c>
      <c r="P286" s="19" t="s">
        <v>1198</v>
      </c>
      <c r="Q286" s="19" t="s">
        <v>1465</v>
      </c>
      <c r="R286" s="19" t="s">
        <v>1477</v>
      </c>
      <c r="S286" s="19"/>
      <c r="T286" s="19" t="s">
        <v>54</v>
      </c>
      <c r="U286" s="19" t="s">
        <v>55</v>
      </c>
      <c r="V286" s="19" t="s">
        <v>56</v>
      </c>
      <c r="W286" s="19" t="s">
        <v>57</v>
      </c>
      <c r="X286" s="19" t="s">
        <v>123</v>
      </c>
      <c r="Y286" s="19"/>
      <c r="Z286" s="19" t="s">
        <v>1478</v>
      </c>
      <c r="AA286" s="19">
        <v>2</v>
      </c>
      <c r="AB286" s="19">
        <v>2</v>
      </c>
      <c r="AC286" s="19" t="s">
        <v>60</v>
      </c>
      <c r="AD286" s="19" t="s">
        <v>1198</v>
      </c>
      <c r="AE286" s="19" t="s">
        <v>1080</v>
      </c>
      <c r="AF286" s="19"/>
    </row>
    <row r="287" spans="1:34" customHeight="1" ht="42">
      <c r="A287" s="19">
        <v>279</v>
      </c>
      <c r="B287" s="19" t="s">
        <v>1225</v>
      </c>
      <c r="C287" s="19" t="s">
        <v>195</v>
      </c>
      <c r="D287" s="19" t="str">
        <f>HYPERLINK("http://www.henontech.com/fieldsafety/harzard/harzard_show.php?rid=3647&amp;url=harzardrecs.php","送煤车顶部看杆平台处有一废弃焊接件，一操作工在下平台时，不慎绊倒摔至捣固平台，肋处横担在了平台棱上受伤，随即送医，经诊断为左侧两肋骨骨折，住院治疗7天，回家休养83天后上班")</f>
        <v>送煤车顶部看杆平台处有一废弃焊接件，一操作工在下平台时，不慎绊倒摔至捣固平台，肋处横担在了平台棱上受伤，随即送医，经诊断为左侧两肋骨骨折，住院治疗7天，回家休养83天后上班</v>
      </c>
      <c r="E287" s="19" t="s">
        <v>1479</v>
      </c>
      <c r="F287" s="20" t="s">
        <v>42</v>
      </c>
      <c r="G287" s="22" t="s">
        <v>66</v>
      </c>
      <c r="H287" s="19" t="s">
        <v>44</v>
      </c>
      <c r="I287" s="19" t="s">
        <v>67</v>
      </c>
      <c r="J287" s="19" t="s">
        <v>46</v>
      </c>
      <c r="K287" s="19" t="s">
        <v>69</v>
      </c>
      <c r="L287" s="19" t="s">
        <v>48</v>
      </c>
      <c r="M287" s="19" t="s">
        <v>117</v>
      </c>
      <c r="N287" s="19" t="s">
        <v>739</v>
      </c>
      <c r="O287" s="19" t="s">
        <v>117</v>
      </c>
      <c r="P287" s="19" t="s">
        <v>224</v>
      </c>
      <c r="Q287" s="19" t="s">
        <v>1465</v>
      </c>
      <c r="R287" s="19" t="s">
        <v>1480</v>
      </c>
      <c r="S287" s="19"/>
      <c r="T287" s="19" t="s">
        <v>54</v>
      </c>
      <c r="U287" s="19" t="s">
        <v>55</v>
      </c>
      <c r="V287" s="19" t="s">
        <v>56</v>
      </c>
      <c r="W287" s="19" t="s">
        <v>57</v>
      </c>
      <c r="X287" s="19" t="s">
        <v>172</v>
      </c>
      <c r="Y287" s="19"/>
      <c r="Z287" s="19" t="s">
        <v>1481</v>
      </c>
      <c r="AA287" s="19">
        <v>2</v>
      </c>
      <c r="AB287" s="19">
        <v>2</v>
      </c>
      <c r="AC287" s="19" t="s">
        <v>60</v>
      </c>
      <c r="AD287" s="19" t="s">
        <v>224</v>
      </c>
      <c r="AE287" s="19" t="s">
        <v>1074</v>
      </c>
      <c r="AF287" s="19"/>
    </row>
    <row r="288" spans="1:34" customHeight="1" ht="42">
      <c r="A288" s="19">
        <v>280</v>
      </c>
      <c r="B288" s="19" t="s">
        <v>1482</v>
      </c>
      <c r="C288" s="19" t="s">
        <v>1472</v>
      </c>
      <c r="D288" s="19" t="str">
        <f>HYPERLINK("http://www.henontech.com/fieldsafety/harzard/harzard_show.php?rid=3666&amp;url=harzardrecs.php","拦焦平台北头接地电极扁铁翘起，此处无照明，夜班一名员工巡检时没有留意脚下凸起物，被翘起的扁铁绊倒导致右胳膊摔在道轨上受伤，随即送医就诊。经医生诊断为右胳膊骨折，治疗一周在家休养三个月后复工。")</f>
        <v>拦焦平台北头接地电极扁铁翘起，此处无照明，夜班一名员工巡检时没有留意脚下凸起物，被翘起的扁铁绊倒导致右胳膊摔在道轨上受伤，随即送医就诊。经医生诊断为右胳膊骨折，治疗一周在家休养三个月后复工。</v>
      </c>
      <c r="E288" s="19" t="s">
        <v>1483</v>
      </c>
      <c r="F288" s="20" t="s">
        <v>42</v>
      </c>
      <c r="G288" s="22" t="s">
        <v>66</v>
      </c>
      <c r="H288" s="19" t="s">
        <v>44</v>
      </c>
      <c r="I288" s="19" t="s">
        <v>83</v>
      </c>
      <c r="J288" s="19" t="s">
        <v>46</v>
      </c>
      <c r="K288" s="19" t="s">
        <v>69</v>
      </c>
      <c r="L288" s="19" t="s">
        <v>48</v>
      </c>
      <c r="M288" s="19" t="s">
        <v>117</v>
      </c>
      <c r="N288" s="19" t="s">
        <v>1240</v>
      </c>
      <c r="O288" s="19" t="s">
        <v>117</v>
      </c>
      <c r="P288" s="19" t="s">
        <v>224</v>
      </c>
      <c r="Q288" s="19" t="s">
        <v>1465</v>
      </c>
      <c r="R288" s="19" t="s">
        <v>1484</v>
      </c>
      <c r="S288" s="19"/>
      <c r="T288" s="19" t="s">
        <v>54</v>
      </c>
      <c r="U288" s="19" t="s">
        <v>75</v>
      </c>
      <c r="V288" s="19" t="s">
        <v>101</v>
      </c>
      <c r="W288" s="19" t="s">
        <v>77</v>
      </c>
      <c r="X288" s="19" t="s">
        <v>123</v>
      </c>
      <c r="Y288" s="19"/>
      <c r="Z288" s="19" t="s">
        <v>1485</v>
      </c>
      <c r="AA288" s="19">
        <v>2</v>
      </c>
      <c r="AB288" s="19">
        <v>2</v>
      </c>
      <c r="AC288" s="19" t="s">
        <v>60</v>
      </c>
      <c r="AD288" s="19" t="s">
        <v>224</v>
      </c>
      <c r="AE288" s="19" t="s">
        <v>1074</v>
      </c>
      <c r="AF288" s="19"/>
    </row>
    <row r="289" spans="1:34" customHeight="1" ht="42">
      <c r="A289" s="19">
        <v>281</v>
      </c>
      <c r="B289" s="19" t="s">
        <v>1482</v>
      </c>
      <c r="C289" s="19" t="s">
        <v>1250</v>
      </c>
      <c r="D289" s="19" t="str">
        <f>HYPERLINK("http://www.henontech.com/fieldsafety/harzard/harzard_show.php?rid=3679&amp;url=harzardrecs.php","机侧1号负压管道下方照明灯安装过低，假如送煤车行走时一名职工恰好站在照明灯下部位置，头部撞在照明灯上。")</f>
        <v>机侧1号负压管道下方照明灯安装过低，假如送煤车行走时一名职工恰好站在照明灯下部位置，头部撞在照明灯上。</v>
      </c>
      <c r="E289" s="19" t="s">
        <v>1486</v>
      </c>
      <c r="F289" s="20" t="s">
        <v>42</v>
      </c>
      <c r="G289" s="21" t="s">
        <v>43</v>
      </c>
      <c r="H289" s="19" t="s">
        <v>44</v>
      </c>
      <c r="I289" s="19" t="s">
        <v>67</v>
      </c>
      <c r="J289" s="19" t="s">
        <v>46</v>
      </c>
      <c r="K289" s="19" t="s">
        <v>69</v>
      </c>
      <c r="L289" s="19" t="s">
        <v>48</v>
      </c>
      <c r="M289" s="19" t="s">
        <v>117</v>
      </c>
      <c r="N289" s="19" t="s">
        <v>232</v>
      </c>
      <c r="O289" s="19" t="s">
        <v>117</v>
      </c>
      <c r="P289" s="19" t="s">
        <v>224</v>
      </c>
      <c r="Q289" s="19" t="s">
        <v>1465</v>
      </c>
      <c r="R289" s="19" t="s">
        <v>1487</v>
      </c>
      <c r="S289" s="19"/>
      <c r="T289" s="19" t="s">
        <v>54</v>
      </c>
      <c r="U289" s="19" t="s">
        <v>55</v>
      </c>
      <c r="V289" s="19" t="s">
        <v>56</v>
      </c>
      <c r="W289" s="19" t="s">
        <v>57</v>
      </c>
      <c r="X289" s="19" t="s">
        <v>123</v>
      </c>
      <c r="Y289" s="19"/>
      <c r="Z289" s="19" t="s">
        <v>1488</v>
      </c>
      <c r="AA289" s="19">
        <v>2</v>
      </c>
      <c r="AB289" s="19">
        <v>2</v>
      </c>
      <c r="AC289" s="19" t="s">
        <v>60</v>
      </c>
      <c r="AD289" s="19" t="s">
        <v>224</v>
      </c>
      <c r="AE289" s="19" t="s">
        <v>1074</v>
      </c>
      <c r="AF289" s="19"/>
    </row>
    <row r="290" spans="1:34" customHeight="1" ht="42">
      <c r="A290" s="19">
        <v>282</v>
      </c>
      <c r="B290" s="19" t="s">
        <v>1489</v>
      </c>
      <c r="C290" s="19" t="s">
        <v>1250</v>
      </c>
      <c r="D290" s="19" t="str">
        <f>HYPERLINK("http://www.henontech.com/fieldsafety/harzard/harzard_show.php?rid=3695&amp;url=harzardrecs.php","水熄车爬梯缺少防护笼，一维修工在检修设备时，脚底打滑踏空，从高处坠落小腿与铁器撞击，造成小腿骨折，送医治疗。")</f>
        <v>水熄车爬梯缺少防护笼，一维修工在检修设备时，脚底打滑踏空，从高处坠落小腿与铁器撞击，造成小腿骨折，送医治疗。</v>
      </c>
      <c r="E290" s="19" t="s">
        <v>1490</v>
      </c>
      <c r="F290" s="20" t="s">
        <v>42</v>
      </c>
      <c r="G290" s="21" t="s">
        <v>43</v>
      </c>
      <c r="H290" s="19" t="s">
        <v>44</v>
      </c>
      <c r="I290" s="19" t="s">
        <v>83</v>
      </c>
      <c r="J290" s="19" t="s">
        <v>46</v>
      </c>
      <c r="K290" s="19" t="s">
        <v>69</v>
      </c>
      <c r="L290" s="19" t="s">
        <v>573</v>
      </c>
      <c r="M290" s="19" t="s">
        <v>117</v>
      </c>
      <c r="N290" s="19" t="s">
        <v>1491</v>
      </c>
      <c r="O290" s="19" t="s">
        <v>117</v>
      </c>
      <c r="P290" s="19" t="s">
        <v>224</v>
      </c>
      <c r="Q290" s="19" t="s">
        <v>1492</v>
      </c>
      <c r="R290" s="19" t="s">
        <v>1493</v>
      </c>
      <c r="S290" s="19"/>
      <c r="T290" s="19" t="s">
        <v>54</v>
      </c>
      <c r="U290" s="19" t="s">
        <v>55</v>
      </c>
      <c r="V290" s="19" t="s">
        <v>101</v>
      </c>
      <c r="W290" s="19" t="s">
        <v>138</v>
      </c>
      <c r="X290" s="19" t="s">
        <v>123</v>
      </c>
      <c r="Y290" s="19"/>
      <c r="Z290" s="19" t="s">
        <v>1494</v>
      </c>
      <c r="AA290" s="19">
        <v>2</v>
      </c>
      <c r="AB290" s="19">
        <v>2</v>
      </c>
      <c r="AC290" s="19" t="s">
        <v>60</v>
      </c>
      <c r="AD290" s="19" t="s">
        <v>224</v>
      </c>
      <c r="AE290" s="19" t="s">
        <v>1074</v>
      </c>
      <c r="AF290" s="19"/>
    </row>
    <row r="291" spans="1:34" customHeight="1" ht="42">
      <c r="A291" s="19">
        <v>283</v>
      </c>
      <c r="B291" s="19" t="s">
        <v>1489</v>
      </c>
      <c r="C291" s="19" t="s">
        <v>117</v>
      </c>
      <c r="D291" s="19" t="str">
        <f>HYPERLINK("http://www.henontech.com/fieldsafety/harzard/harzard_show.php?rid=3697&amp;url=harzardrecs.php","因焦四机尾通廊爬梯踏板腐蚀脱落，一操作工在巡检时，不慎踏空造成脚踝扭伤，就医治疗。")</f>
        <v>因焦四机尾通廊爬梯踏板腐蚀脱落，一操作工在巡检时，不慎踏空造成脚踝扭伤，就医治疗。</v>
      </c>
      <c r="E291" s="19" t="s">
        <v>1272</v>
      </c>
      <c r="F291" s="20" t="s">
        <v>42</v>
      </c>
      <c r="G291" s="21" t="s">
        <v>43</v>
      </c>
      <c r="H291" s="19" t="s">
        <v>44</v>
      </c>
      <c r="I291" s="19" t="s">
        <v>83</v>
      </c>
      <c r="J291" s="19" t="s">
        <v>46</v>
      </c>
      <c r="K291" s="19" t="s">
        <v>145</v>
      </c>
      <c r="L291" s="19" t="s">
        <v>573</v>
      </c>
      <c r="M291" s="19" t="s">
        <v>117</v>
      </c>
      <c r="N291" s="19" t="s">
        <v>168</v>
      </c>
      <c r="O291" s="19" t="s">
        <v>117</v>
      </c>
      <c r="P291" s="19" t="s">
        <v>224</v>
      </c>
      <c r="Q291" s="19" t="s">
        <v>1492</v>
      </c>
      <c r="R291" s="19" t="s">
        <v>1495</v>
      </c>
      <c r="S291" s="19"/>
      <c r="T291" s="19" t="s">
        <v>54</v>
      </c>
      <c r="U291" s="19" t="s">
        <v>55</v>
      </c>
      <c r="V291" s="19" t="s">
        <v>101</v>
      </c>
      <c r="W291" s="19" t="s">
        <v>138</v>
      </c>
      <c r="X291" s="19" t="s">
        <v>58</v>
      </c>
      <c r="Y291" s="19"/>
      <c r="Z291" s="19" t="s">
        <v>1496</v>
      </c>
      <c r="AA291" s="19">
        <v>2</v>
      </c>
      <c r="AB291" s="19">
        <v>2</v>
      </c>
      <c r="AC291" s="19" t="s">
        <v>60</v>
      </c>
      <c r="AD291" s="19" t="s">
        <v>224</v>
      </c>
      <c r="AE291" s="19" t="s">
        <v>1074</v>
      </c>
      <c r="AF291" s="19"/>
    </row>
    <row r="292" spans="1:34" customHeight="1" ht="42">
      <c r="A292" s="19">
        <v>284</v>
      </c>
      <c r="B292" s="19" t="s">
        <v>1489</v>
      </c>
      <c r="C292" s="19" t="s">
        <v>1497</v>
      </c>
      <c r="D292" s="19" t="str">
        <f>HYPERLINK("http://www.henontech.com/fieldsafety/harzard/harzard_show.php?rid=3703&amp;url=harzardrecs.php","夜间送煤车巡检人员在巡检过程中，由于盖板缺失，不慎跌落，造成小腿重伤，送医救治。")</f>
        <v>夜间送煤车巡检人员在巡检过程中，由于盖板缺失，不慎跌落，造成小腿重伤，送医救治。</v>
      </c>
      <c r="E292" s="19" t="s">
        <v>1498</v>
      </c>
      <c r="F292" s="20" t="s">
        <v>42</v>
      </c>
      <c r="G292" s="22" t="s">
        <v>66</v>
      </c>
      <c r="H292" s="19" t="s">
        <v>44</v>
      </c>
      <c r="I292" s="19" t="s">
        <v>45</v>
      </c>
      <c r="J292" s="19" t="s">
        <v>46</v>
      </c>
      <c r="K292" s="19" t="s">
        <v>69</v>
      </c>
      <c r="L292" s="19" t="s">
        <v>573</v>
      </c>
      <c r="M292" s="19" t="s">
        <v>117</v>
      </c>
      <c r="N292" s="19" t="s">
        <v>1269</v>
      </c>
      <c r="O292" s="19" t="s">
        <v>117</v>
      </c>
      <c r="P292" s="19" t="s">
        <v>602</v>
      </c>
      <c r="Q292" s="19" t="s">
        <v>1492</v>
      </c>
      <c r="R292" s="19" t="s">
        <v>1480</v>
      </c>
      <c r="S292" s="19"/>
      <c r="T292" s="19" t="s">
        <v>54</v>
      </c>
      <c r="U292" s="19" t="s">
        <v>55</v>
      </c>
      <c r="V292" s="19" t="s">
        <v>56</v>
      </c>
      <c r="W292" s="19" t="s">
        <v>57</v>
      </c>
      <c r="X292" s="19" t="s">
        <v>58</v>
      </c>
      <c r="Y292" s="19"/>
      <c r="Z292" s="19" t="s">
        <v>1499</v>
      </c>
      <c r="AA292" s="19">
        <v>2</v>
      </c>
      <c r="AB292" s="19">
        <v>2</v>
      </c>
      <c r="AC292" s="19" t="s">
        <v>60</v>
      </c>
      <c r="AD292" s="19" t="s">
        <v>602</v>
      </c>
      <c r="AE292" s="19" t="s">
        <v>1074</v>
      </c>
      <c r="AF292" s="19"/>
    </row>
    <row r="293" spans="1:34" customHeight="1" ht="42">
      <c r="A293" s="19">
        <v>285</v>
      </c>
      <c r="B293" s="19" t="s">
        <v>1489</v>
      </c>
      <c r="C293" s="19" t="s">
        <v>1500</v>
      </c>
      <c r="D293" s="19" t="str">
        <f>HYPERLINK("http://www.henontech.com/fieldsafety/harzard/harzard_show.php?rid=3704&amp;url=harzardrecs.php","推焦车车载除尘护栏矮，操作工在进行布袋清理时脚底磕绊翻越护栏坠落，头部着地，当场昏迷，送医抢救。")</f>
        <v>推焦车车载除尘护栏矮，操作工在进行布袋清理时脚底磕绊翻越护栏坠落，头部着地，当场昏迷，送医抢救。</v>
      </c>
      <c r="E293" s="19" t="s">
        <v>1501</v>
      </c>
      <c r="F293" s="20" t="s">
        <v>42</v>
      </c>
      <c r="G293" s="22" t="s">
        <v>66</v>
      </c>
      <c r="H293" s="19" t="s">
        <v>44</v>
      </c>
      <c r="I293" s="19" t="s">
        <v>45</v>
      </c>
      <c r="J293" s="19" t="s">
        <v>46</v>
      </c>
      <c r="K293" s="19" t="s">
        <v>69</v>
      </c>
      <c r="L293" s="19" t="s">
        <v>48</v>
      </c>
      <c r="M293" s="19" t="s">
        <v>117</v>
      </c>
      <c r="N293" s="19" t="s">
        <v>602</v>
      </c>
      <c r="O293" s="19" t="s">
        <v>117</v>
      </c>
      <c r="P293" s="19" t="s">
        <v>224</v>
      </c>
      <c r="Q293" s="19" t="s">
        <v>1492</v>
      </c>
      <c r="R293" s="19" t="s">
        <v>1502</v>
      </c>
      <c r="S293" s="19"/>
      <c r="T293" s="19" t="s">
        <v>54</v>
      </c>
      <c r="U293" s="19" t="s">
        <v>121</v>
      </c>
      <c r="V293" s="19" t="s">
        <v>56</v>
      </c>
      <c r="W293" s="19" t="s">
        <v>122</v>
      </c>
      <c r="X293" s="19" t="s">
        <v>123</v>
      </c>
      <c r="Y293" s="19"/>
      <c r="Z293" s="19" t="s">
        <v>1503</v>
      </c>
      <c r="AA293" s="19">
        <v>2</v>
      </c>
      <c r="AB293" s="19">
        <v>2</v>
      </c>
      <c r="AC293" s="19" t="s">
        <v>60</v>
      </c>
      <c r="AD293" s="19" t="s">
        <v>224</v>
      </c>
      <c r="AE293" s="19" t="s">
        <v>1202</v>
      </c>
      <c r="AF293" s="19"/>
    </row>
    <row r="294" spans="1:34" customHeight="1" ht="42">
      <c r="A294" s="19">
        <v>286</v>
      </c>
      <c r="B294" s="19" t="s">
        <v>1489</v>
      </c>
      <c r="C294" s="19" t="s">
        <v>1504</v>
      </c>
      <c r="D294" s="19" t="str">
        <f>HYPERLINK("http://www.henontech.com/fieldsafety/harzard/harzard_show.php?rid=3705&amp;url=harzardrecs.php","拦焦车滑触线绝缘瓷瓶坏，滑触线落于接地线上，造成拦焦断电，抢修两个小时。")</f>
        <v>拦焦车滑触线绝缘瓷瓶坏，滑触线落于接地线上，造成拦焦断电，抢修两个小时。</v>
      </c>
      <c r="E294" s="19" t="s">
        <v>1505</v>
      </c>
      <c r="F294" s="20" t="s">
        <v>42</v>
      </c>
      <c r="G294" s="21" t="s">
        <v>43</v>
      </c>
      <c r="H294" s="19" t="s">
        <v>44</v>
      </c>
      <c r="I294" s="19" t="s">
        <v>45</v>
      </c>
      <c r="J294" s="19" t="s">
        <v>46</v>
      </c>
      <c r="K294" s="19" t="s">
        <v>69</v>
      </c>
      <c r="L294" s="19" t="s">
        <v>573</v>
      </c>
      <c r="M294" s="19" t="s">
        <v>117</v>
      </c>
      <c r="N294" s="19" t="s">
        <v>602</v>
      </c>
      <c r="O294" s="19" t="s">
        <v>117</v>
      </c>
      <c r="P294" s="19" t="s">
        <v>224</v>
      </c>
      <c r="Q294" s="19" t="s">
        <v>1492</v>
      </c>
      <c r="R294" s="19" t="s">
        <v>1506</v>
      </c>
      <c r="S294" s="19"/>
      <c r="T294" s="19" t="s">
        <v>100</v>
      </c>
      <c r="U294" s="19" t="s">
        <v>192</v>
      </c>
      <c r="V294" s="19" t="s">
        <v>56</v>
      </c>
      <c r="W294" s="19" t="s">
        <v>77</v>
      </c>
      <c r="X294" s="19" t="s">
        <v>123</v>
      </c>
      <c r="Y294" s="19"/>
      <c r="Z294" s="19" t="s">
        <v>1507</v>
      </c>
      <c r="AA294" s="19">
        <v>2</v>
      </c>
      <c r="AB294" s="19">
        <v>2</v>
      </c>
      <c r="AC294" s="19" t="s">
        <v>60</v>
      </c>
      <c r="AD294" s="19" t="s">
        <v>224</v>
      </c>
      <c r="AE294" s="19" t="s">
        <v>1132</v>
      </c>
      <c r="AF294" s="19"/>
    </row>
    <row r="295" spans="1:34" customHeight="1" ht="42">
      <c r="A295" s="19">
        <v>287</v>
      </c>
      <c r="B295" s="19" t="s">
        <v>1489</v>
      </c>
      <c r="C295" s="19" t="s">
        <v>1497</v>
      </c>
      <c r="D295" s="19" t="str">
        <f>HYPERLINK("http://www.henontech.com/fieldsafety/harzard/harzard_show.php?rid=3712&amp;url=harzardrecs.php","装煤车平煤机架接头断裂无法平煤，装煤时浮煤掉落太多造成烟气过大")</f>
        <v>装煤车平煤机架接头断裂无法平煤，装煤时浮煤掉落太多造成烟气过大</v>
      </c>
      <c r="E295" s="19" t="s">
        <v>1508</v>
      </c>
      <c r="F295" s="20" t="s">
        <v>42</v>
      </c>
      <c r="G295" s="21" t="s">
        <v>43</v>
      </c>
      <c r="H295" s="19" t="s">
        <v>44</v>
      </c>
      <c r="I295" s="19" t="s">
        <v>437</v>
      </c>
      <c r="J295" s="19" t="s">
        <v>46</v>
      </c>
      <c r="K295" s="19" t="s">
        <v>69</v>
      </c>
      <c r="L295" s="19" t="s">
        <v>573</v>
      </c>
      <c r="M295" s="19" t="s">
        <v>117</v>
      </c>
      <c r="N295" s="19" t="s">
        <v>1283</v>
      </c>
      <c r="O295" s="19" t="s">
        <v>117</v>
      </c>
      <c r="P295" s="19" t="s">
        <v>224</v>
      </c>
      <c r="Q295" s="19" t="s">
        <v>1492</v>
      </c>
      <c r="R295" s="19" t="s">
        <v>1246</v>
      </c>
      <c r="S295" s="19"/>
      <c r="T295" s="19" t="s">
        <v>270</v>
      </c>
      <c r="U295" s="19" t="s">
        <v>192</v>
      </c>
      <c r="V295" s="19" t="s">
        <v>271</v>
      </c>
      <c r="W295" s="19" t="s">
        <v>77</v>
      </c>
      <c r="X295" s="19" t="s">
        <v>58</v>
      </c>
      <c r="Y295" s="19"/>
      <c r="Z295" s="19" t="s">
        <v>1509</v>
      </c>
      <c r="AA295" s="19">
        <v>2</v>
      </c>
      <c r="AB295" s="19">
        <v>2</v>
      </c>
      <c r="AC295" s="19" t="s">
        <v>60</v>
      </c>
      <c r="AD295" s="19" t="s">
        <v>224</v>
      </c>
      <c r="AE295" s="19" t="s">
        <v>1074</v>
      </c>
      <c r="AF295" s="19"/>
    </row>
    <row r="296" spans="1:34" customHeight="1" ht="42">
      <c r="A296" s="19">
        <v>288</v>
      </c>
      <c r="B296" s="19" t="s">
        <v>1510</v>
      </c>
      <c r="C296" s="19" t="s">
        <v>1511</v>
      </c>
      <c r="D296" s="19" t="str">
        <f>HYPERLINK("http://www.henontech.com/fieldsafety/harzard/harzard_show.php?rid=3731&amp;url=harzardrecs.php","液碱罐爬梯无护栏，没有固定，一职工下去清理卫生，不慎摔下爬梯，送医确诊右腿骨折，住院15天，回家休养三个月。复工")</f>
        <v>液碱罐爬梯无护栏，没有固定，一职工下去清理卫生，不慎摔下爬梯，送医确诊右腿骨折，住院15天，回家休养三个月。复工</v>
      </c>
      <c r="E296" s="19" t="s">
        <v>1512</v>
      </c>
      <c r="F296" s="20" t="s">
        <v>42</v>
      </c>
      <c r="G296" s="21" t="s">
        <v>43</v>
      </c>
      <c r="H296" s="19" t="s">
        <v>44</v>
      </c>
      <c r="I296" s="19" t="s">
        <v>45</v>
      </c>
      <c r="J296" s="19" t="s">
        <v>68</v>
      </c>
      <c r="K296" s="19" t="s">
        <v>69</v>
      </c>
      <c r="L296" s="19" t="s">
        <v>48</v>
      </c>
      <c r="M296" s="19" t="s">
        <v>49</v>
      </c>
      <c r="N296" s="19" t="s">
        <v>1513</v>
      </c>
      <c r="O296" s="19" t="s">
        <v>49</v>
      </c>
      <c r="P296" s="19" t="s">
        <v>1514</v>
      </c>
      <c r="Q296" s="19" t="s">
        <v>1515</v>
      </c>
      <c r="R296" s="19" t="s">
        <v>1516</v>
      </c>
      <c r="S296" s="19"/>
      <c r="T296" s="19" t="s">
        <v>54</v>
      </c>
      <c r="U296" s="19" t="s">
        <v>55</v>
      </c>
      <c r="V296" s="19" t="s">
        <v>56</v>
      </c>
      <c r="W296" s="19" t="s">
        <v>57</v>
      </c>
      <c r="X296" s="19" t="s">
        <v>58</v>
      </c>
      <c r="Y296" s="19" t="s">
        <v>58</v>
      </c>
      <c r="Z296" s="19" t="s">
        <v>1517</v>
      </c>
      <c r="AA296" s="19">
        <v>2</v>
      </c>
      <c r="AB296" s="19">
        <v>2</v>
      </c>
      <c r="AC296" s="19" t="s">
        <v>60</v>
      </c>
      <c r="AD296" s="19" t="s">
        <v>1514</v>
      </c>
      <c r="AE296" s="19" t="s">
        <v>1123</v>
      </c>
      <c r="AF296" s="19"/>
    </row>
    <row r="297" spans="1:34">
      <c r="A297" s="19">
        <v>289</v>
      </c>
      <c r="B297" s="19" t="s">
        <v>1518</v>
      </c>
      <c r="C297" s="19" t="s">
        <v>1519</v>
      </c>
      <c r="D297" s="19" t="str">
        <f>HYPERLINK("http://www.henontech.com/fieldsafety/harzard/harzard_show.php?rid=3748&amp;url=harzardrecs.php","两盐搅拌器处有蒸汽横管，假如一名操作工在夜间操作时由于灯光视线不足就会被蒸汽横管烫伤右臂，送医务室上药后正常上班。轻微烫伤。")</f>
        <v>两盐搅拌器处有蒸汽横管，假如一名操作工在夜间操作时由于灯光视线不足就会被蒸汽横管烫伤右臂，送医务室上药后正常上班。轻微烫伤。</v>
      </c>
      <c r="E297" s="19" t="s">
        <v>1520</v>
      </c>
      <c r="F297" s="20" t="s">
        <v>42</v>
      </c>
      <c r="G297" s="21" t="s">
        <v>43</v>
      </c>
      <c r="H297" s="19" t="s">
        <v>44</v>
      </c>
      <c r="I297" s="19" t="s">
        <v>45</v>
      </c>
      <c r="J297" s="19" t="s">
        <v>68</v>
      </c>
      <c r="K297" s="19" t="s">
        <v>145</v>
      </c>
      <c r="L297" s="19" t="s">
        <v>48</v>
      </c>
      <c r="M297" s="19" t="s">
        <v>70</v>
      </c>
      <c r="N297" s="19" t="s">
        <v>1521</v>
      </c>
      <c r="O297" s="19" t="s">
        <v>70</v>
      </c>
      <c r="P297" s="19" t="s">
        <v>72</v>
      </c>
      <c r="Q297" s="19" t="s">
        <v>1522</v>
      </c>
      <c r="R297" s="19" t="s">
        <v>1523</v>
      </c>
      <c r="S297" s="19"/>
      <c r="T297" s="19" t="s">
        <v>54</v>
      </c>
      <c r="U297" s="19" t="s">
        <v>75</v>
      </c>
      <c r="V297" s="19" t="s">
        <v>56</v>
      </c>
      <c r="W297" s="19" t="s">
        <v>138</v>
      </c>
      <c r="X297" s="19"/>
      <c r="Y297" s="19"/>
      <c r="Z297" s="19" t="s">
        <v>1524</v>
      </c>
      <c r="AA297" s="19">
        <v>1</v>
      </c>
      <c r="AB297" s="19">
        <v>1</v>
      </c>
      <c r="AC297" s="19" t="s">
        <v>60</v>
      </c>
      <c r="AD297" s="19" t="s">
        <v>72</v>
      </c>
      <c r="AE297" s="19" t="s">
        <v>1080</v>
      </c>
      <c r="AF297" s="19"/>
    </row>
    <row r="298" spans="1:34">
      <c r="A298" s="19">
        <v>290</v>
      </c>
      <c r="B298" s="19" t="s">
        <v>1525</v>
      </c>
      <c r="C298" s="19" t="s">
        <v>449</v>
      </c>
      <c r="D298" s="19" t="str">
        <f>HYPERLINK("http://www.henontech.com/fieldsafety/harzard/harzard_show.php?rid=3820&amp;url=harzardrecs.php","旋转密封阀东墙氧气报警仪配电箱门锁坏，无法关闭，巡检人员巡检时右手触碰电源，造成右手电灼伤，送医治疗。")</f>
        <v>旋转密封阀东墙氧气报警仪配电箱门锁坏，无法关闭，巡检人员巡检时右手触碰电源，造成右手电灼伤，送医治疗。</v>
      </c>
      <c r="E298" s="19" t="s">
        <v>1526</v>
      </c>
      <c r="F298" s="20" t="s">
        <v>42</v>
      </c>
      <c r="G298" s="21" t="s">
        <v>43</v>
      </c>
      <c r="H298" s="19" t="s">
        <v>44</v>
      </c>
      <c r="I298" s="19" t="s">
        <v>67</v>
      </c>
      <c r="J298" s="19" t="s">
        <v>401</v>
      </c>
      <c r="K298" s="19" t="s">
        <v>47</v>
      </c>
      <c r="L298" s="19" t="s">
        <v>48</v>
      </c>
      <c r="M298" s="19" t="s">
        <v>117</v>
      </c>
      <c r="N298" s="19" t="s">
        <v>1527</v>
      </c>
      <c r="O298" s="19" t="s">
        <v>117</v>
      </c>
      <c r="P298" s="19" t="s">
        <v>876</v>
      </c>
      <c r="Q298" s="19" t="s">
        <v>1528</v>
      </c>
      <c r="R298" s="19" t="s">
        <v>1529</v>
      </c>
      <c r="S298" s="19" t="s">
        <v>1530</v>
      </c>
      <c r="T298" s="19" t="s">
        <v>54</v>
      </c>
      <c r="U298" s="19" t="s">
        <v>55</v>
      </c>
      <c r="V298" s="19" t="s">
        <v>56</v>
      </c>
      <c r="W298" s="19" t="s">
        <v>57</v>
      </c>
      <c r="X298" s="19" t="s">
        <v>58</v>
      </c>
      <c r="Y298" s="19"/>
      <c r="Z298" s="19" t="s">
        <v>1531</v>
      </c>
      <c r="AA298" s="19">
        <v>1</v>
      </c>
      <c r="AB298" s="19">
        <v>1</v>
      </c>
      <c r="AC298" s="19" t="s">
        <v>60</v>
      </c>
      <c r="AD298" s="19" t="s">
        <v>876</v>
      </c>
      <c r="AE298" s="19" t="s">
        <v>1123</v>
      </c>
      <c r="AF298" s="19" t="s">
        <v>1532</v>
      </c>
    </row>
    <row r="299" spans="1:34">
      <c r="A299" s="19">
        <v>291</v>
      </c>
      <c r="B299" s="19" t="s">
        <v>1525</v>
      </c>
      <c r="C299" s="19" t="s">
        <v>1118</v>
      </c>
      <c r="D299" s="19" t="str">
        <f>HYPERLINK("http://www.henontech.com/fieldsafety/harzard/harzard_show.php?rid=3835&amp;url=harzardrecs.php","二次除尘爬梯未安装防滑条，巡检人员下爬梯时脚底打滑，从爬梯上滑落，造成右脚扭伤，送医治疗。")</f>
        <v>二次除尘爬梯未安装防滑条，巡检人员下爬梯时脚底打滑，从爬梯上滑落，造成右脚扭伤，送医治疗。</v>
      </c>
      <c r="E299" s="19" t="s">
        <v>1533</v>
      </c>
      <c r="F299" s="20" t="s">
        <v>42</v>
      </c>
      <c r="G299" s="21" t="s">
        <v>43</v>
      </c>
      <c r="H299" s="19" t="s">
        <v>44</v>
      </c>
      <c r="I299" s="19" t="s">
        <v>67</v>
      </c>
      <c r="J299" s="19" t="s">
        <v>68</v>
      </c>
      <c r="K299" s="19" t="s">
        <v>47</v>
      </c>
      <c r="L299" s="19" t="s">
        <v>48</v>
      </c>
      <c r="M299" s="19" t="s">
        <v>117</v>
      </c>
      <c r="N299" s="19" t="s">
        <v>691</v>
      </c>
      <c r="O299" s="19" t="s">
        <v>117</v>
      </c>
      <c r="P299" s="19" t="s">
        <v>223</v>
      </c>
      <c r="Q299" s="19" t="s">
        <v>1534</v>
      </c>
      <c r="R299" s="19" t="s">
        <v>1535</v>
      </c>
      <c r="S299" s="19" t="s">
        <v>1536</v>
      </c>
      <c r="T299" s="19" t="s">
        <v>54</v>
      </c>
      <c r="U299" s="19" t="s">
        <v>55</v>
      </c>
      <c r="V299" s="19" t="s">
        <v>271</v>
      </c>
      <c r="W299" s="19" t="s">
        <v>122</v>
      </c>
      <c r="X299" s="19" t="s">
        <v>58</v>
      </c>
      <c r="Y299" s="19" t="s">
        <v>226</v>
      </c>
      <c r="Z299" s="19" t="s">
        <v>1537</v>
      </c>
      <c r="AA299" s="19">
        <v>1</v>
      </c>
      <c r="AB299" s="19">
        <v>1</v>
      </c>
      <c r="AC299" s="19" t="s">
        <v>60</v>
      </c>
      <c r="AD299" s="19" t="s">
        <v>223</v>
      </c>
      <c r="AE299" s="19" t="s">
        <v>1139</v>
      </c>
      <c r="AF299" s="19" t="s">
        <v>1538</v>
      </c>
    </row>
    <row r="300" spans="1:34">
      <c r="A300" s="19">
        <v>292</v>
      </c>
      <c r="B300" s="19" t="s">
        <v>1539</v>
      </c>
      <c r="C300" s="19" t="s">
        <v>1118</v>
      </c>
      <c r="D300" s="19" t="str">
        <f>HYPERLINK("http://www.henontech.com/fieldsafety/harzard/harzard_show.php?rid=3888&amp;url=harzardrecs.php","干熄炉三层东侧护栏踢脚板开焊脱落，如遇大风天气刮落一铁件砸伤一行人，造成左肩受伤，送医治疗")</f>
        <v>干熄炉三层东侧护栏踢脚板开焊脱落，如遇大风天气刮落一铁件砸伤一行人，造成左肩受伤，送医治疗</v>
      </c>
      <c r="E300" s="19" t="s">
        <v>1540</v>
      </c>
      <c r="F300" s="20" t="s">
        <v>42</v>
      </c>
      <c r="G300" s="21" t="s">
        <v>43</v>
      </c>
      <c r="H300" s="19" t="s">
        <v>44</v>
      </c>
      <c r="I300" s="19" t="s">
        <v>67</v>
      </c>
      <c r="J300" s="19" t="s">
        <v>401</v>
      </c>
      <c r="K300" s="19" t="s">
        <v>47</v>
      </c>
      <c r="L300" s="19" t="s">
        <v>48</v>
      </c>
      <c r="M300" s="19" t="s">
        <v>117</v>
      </c>
      <c r="N300" s="19" t="s">
        <v>1541</v>
      </c>
      <c r="O300" s="19" t="s">
        <v>117</v>
      </c>
      <c r="P300" s="19" t="s">
        <v>876</v>
      </c>
      <c r="Q300" s="19" t="s">
        <v>1528</v>
      </c>
      <c r="R300" s="19" t="s">
        <v>1542</v>
      </c>
      <c r="S300" s="19" t="s">
        <v>1543</v>
      </c>
      <c r="T300" s="19" t="s">
        <v>54</v>
      </c>
      <c r="U300" s="19" t="s">
        <v>55</v>
      </c>
      <c r="V300" s="19" t="s">
        <v>56</v>
      </c>
      <c r="W300" s="19" t="s">
        <v>57</v>
      </c>
      <c r="X300" s="19" t="s">
        <v>58</v>
      </c>
      <c r="Y300" s="19"/>
      <c r="Z300" s="19" t="s">
        <v>1544</v>
      </c>
      <c r="AA300" s="19">
        <v>1</v>
      </c>
      <c r="AB300" s="19">
        <v>1</v>
      </c>
      <c r="AC300" s="19" t="s">
        <v>60</v>
      </c>
      <c r="AD300" s="19" t="s">
        <v>876</v>
      </c>
      <c r="AE300" s="19" t="s">
        <v>1123</v>
      </c>
      <c r="AF300" s="19" t="s">
        <v>1545</v>
      </c>
    </row>
    <row r="301" spans="1:34">
      <c r="A301" s="19">
        <v>293</v>
      </c>
      <c r="B301" s="19" t="s">
        <v>1539</v>
      </c>
      <c r="C301" s="19" t="s">
        <v>1133</v>
      </c>
      <c r="D301" s="19" t="str">
        <f>HYPERLINK("http://www.henontech.com/fieldsafety/harzard/harzard_show.php?rid=3903&amp;url=harzardrecs.php","一级高压泵接触器保护套老化，失去保护作用，一旦短路一级反渗透停机，将会造成干熄焦锅炉负荷降低")</f>
        <v>一级高压泵接触器保护套老化，失去保护作用，一旦短路一级反渗透停机，将会造成干熄焦锅炉负荷降低</v>
      </c>
      <c r="E301" s="19" t="s">
        <v>1546</v>
      </c>
      <c r="F301" s="20" t="s">
        <v>42</v>
      </c>
      <c r="G301" s="21" t="s">
        <v>43</v>
      </c>
      <c r="H301" s="19" t="s">
        <v>44</v>
      </c>
      <c r="I301" s="19" t="s">
        <v>67</v>
      </c>
      <c r="J301" s="19" t="s">
        <v>401</v>
      </c>
      <c r="K301" s="19" t="s">
        <v>47</v>
      </c>
      <c r="L301" s="19" t="s">
        <v>48</v>
      </c>
      <c r="M301" s="19" t="s">
        <v>117</v>
      </c>
      <c r="N301" s="19" t="s">
        <v>1135</v>
      </c>
      <c r="O301" s="19" t="s">
        <v>117</v>
      </c>
      <c r="P301" s="19" t="s">
        <v>876</v>
      </c>
      <c r="Q301" s="19" t="s">
        <v>1528</v>
      </c>
      <c r="R301" s="19" t="s">
        <v>1547</v>
      </c>
      <c r="S301" s="19" t="s">
        <v>1548</v>
      </c>
      <c r="T301" s="19" t="s">
        <v>100</v>
      </c>
      <c r="U301" s="19" t="s">
        <v>75</v>
      </c>
      <c r="V301" s="19" t="s">
        <v>271</v>
      </c>
      <c r="W301" s="19" t="s">
        <v>57</v>
      </c>
      <c r="X301" s="19" t="s">
        <v>58</v>
      </c>
      <c r="Y301" s="19"/>
      <c r="Z301" s="19" t="s">
        <v>1549</v>
      </c>
      <c r="AA301" s="19">
        <v>1</v>
      </c>
      <c r="AB301" s="19">
        <v>1</v>
      </c>
      <c r="AC301" s="19" t="s">
        <v>60</v>
      </c>
      <c r="AD301" s="19" t="s">
        <v>876</v>
      </c>
      <c r="AE301" s="19" t="s">
        <v>1139</v>
      </c>
      <c r="AF301" s="19" t="s">
        <v>1550</v>
      </c>
    </row>
    <row r="302" spans="1:34">
      <c r="A302" s="19">
        <v>294</v>
      </c>
      <c r="B302" s="19" t="s">
        <v>1551</v>
      </c>
      <c r="C302" s="19" t="s">
        <v>1133</v>
      </c>
      <c r="D302" s="19" t="str">
        <f>HYPERLINK("http://www.henontech.com/fieldsafety/harzard/harzard_show.php?rid=4044&amp;url=harzardrecs.php","除盐水站一楼加药间地面盖板破损，一员工巡检至此时，脚部不慎插入破损处摔倒，致使脚腕扭伤，送医务室处理后，回到岗位，可从事简单操作工作，未造成损工。")</f>
        <v>除盐水站一楼加药间地面盖板破损，一员工巡检至此时，脚部不慎插入破损处摔倒，致使脚腕扭伤，送医务室处理后，回到岗位，可从事简单操作工作，未造成损工。</v>
      </c>
      <c r="E302" s="19" t="s">
        <v>1552</v>
      </c>
      <c r="F302" s="20" t="s">
        <v>42</v>
      </c>
      <c r="G302" s="21" t="s">
        <v>43</v>
      </c>
      <c r="H302" s="19" t="s">
        <v>44</v>
      </c>
      <c r="I302" s="19" t="s">
        <v>45</v>
      </c>
      <c r="J302" s="19" t="s">
        <v>68</v>
      </c>
      <c r="K302" s="19" t="s">
        <v>145</v>
      </c>
      <c r="L302" s="19"/>
      <c r="M302" s="19" t="s">
        <v>117</v>
      </c>
      <c r="N302" s="19" t="s">
        <v>1553</v>
      </c>
      <c r="O302" s="19" t="s">
        <v>117</v>
      </c>
      <c r="P302" s="19" t="s">
        <v>635</v>
      </c>
      <c r="Q302" s="19" t="s">
        <v>1528</v>
      </c>
      <c r="R302" s="19" t="s">
        <v>1554</v>
      </c>
      <c r="S302" s="19" t="s">
        <v>1555</v>
      </c>
      <c r="T302" s="19" t="s">
        <v>54</v>
      </c>
      <c r="U302" s="19" t="s">
        <v>75</v>
      </c>
      <c r="V302" s="19" t="s">
        <v>56</v>
      </c>
      <c r="W302" s="19" t="s">
        <v>138</v>
      </c>
      <c r="X302" s="19" t="s">
        <v>58</v>
      </c>
      <c r="Y302" s="19"/>
      <c r="Z302" s="19" t="s">
        <v>1556</v>
      </c>
      <c r="AA302" s="19">
        <v>1</v>
      </c>
      <c r="AB302" s="19">
        <v>1</v>
      </c>
      <c r="AC302" s="19" t="s">
        <v>60</v>
      </c>
      <c r="AD302" s="19" t="s">
        <v>635</v>
      </c>
      <c r="AE302" s="19" t="s">
        <v>1088</v>
      </c>
      <c r="AF302" s="19" t="s">
        <v>1557</v>
      </c>
    </row>
    <row r="303" spans="1:34">
      <c r="A303" s="19">
        <v>295</v>
      </c>
      <c r="B303" s="19" t="s">
        <v>1551</v>
      </c>
      <c r="C303" s="19" t="s">
        <v>1380</v>
      </c>
      <c r="D303" s="19" t="str">
        <f>HYPERLINK("http://www.henontech.com/fieldsafety/harzard/harzard_show.php?rid=4056&amp;url=harzardrecs.php","循环水冷却塔风机电缆接头裸露，一员工在巡检风机时，手部不小心触碰裸露部位，造成该员工触电（电压380V），经送医抢救无效死亡。")</f>
        <v>循环水冷却塔风机电缆接头裸露，一员工在巡检风机时，手部不小心触碰裸露部位，造成该员工触电（电压380V），经送医抢救无效死亡。</v>
      </c>
      <c r="E303" s="19" t="s">
        <v>1558</v>
      </c>
      <c r="F303" s="20" t="s">
        <v>42</v>
      </c>
      <c r="G303" s="21" t="s">
        <v>43</v>
      </c>
      <c r="H303" s="19" t="s">
        <v>44</v>
      </c>
      <c r="I303" s="19" t="s">
        <v>67</v>
      </c>
      <c r="J303" s="19" t="s">
        <v>202</v>
      </c>
      <c r="K303" s="19" t="s">
        <v>69</v>
      </c>
      <c r="L303" s="19" t="s">
        <v>48</v>
      </c>
      <c r="M303" s="19" t="s">
        <v>117</v>
      </c>
      <c r="N303" s="19" t="s">
        <v>1179</v>
      </c>
      <c r="O303" s="19" t="s">
        <v>117</v>
      </c>
      <c r="P303" s="19" t="s">
        <v>937</v>
      </c>
      <c r="Q303" s="19" t="s">
        <v>1559</v>
      </c>
      <c r="R303" s="19" t="s">
        <v>1560</v>
      </c>
      <c r="S303" s="19" t="s">
        <v>1561</v>
      </c>
      <c r="T303" s="19" t="s">
        <v>54</v>
      </c>
      <c r="U303" s="19" t="s">
        <v>121</v>
      </c>
      <c r="V303" s="19" t="s">
        <v>56</v>
      </c>
      <c r="W303" s="19" t="s">
        <v>122</v>
      </c>
      <c r="X303" s="19" t="s">
        <v>58</v>
      </c>
      <c r="Y303" s="19"/>
      <c r="Z303" s="19" t="s">
        <v>1562</v>
      </c>
      <c r="AA303" s="19">
        <v>1</v>
      </c>
      <c r="AB303" s="19">
        <v>1</v>
      </c>
      <c r="AC303" s="19" t="s">
        <v>60</v>
      </c>
      <c r="AD303" s="19" t="s">
        <v>937</v>
      </c>
      <c r="AE303" s="19" t="s">
        <v>1123</v>
      </c>
      <c r="AF303" s="19" t="s">
        <v>1563</v>
      </c>
    </row>
    <row r="304" spans="1:34">
      <c r="A304" s="19">
        <v>296</v>
      </c>
      <c r="B304" s="19" t="s">
        <v>1564</v>
      </c>
      <c r="C304" s="19" t="s">
        <v>1118</v>
      </c>
      <c r="D304" s="19" t="str">
        <f>HYPERLINK("http://www.henontech.com/fieldsafety/harzard/harzard_show.php?rid=4068&amp;url=harzardrecs.php","干熄炉五层到七层消防水管道截断未及时拆除，由于时间较长腐蚀严重从30高空掉落至地面砸中一名巡检人员，当场死亡")</f>
        <v>干熄炉五层到七层消防水管道截断未及时拆除，由于时间较长腐蚀严重从30高空掉落至地面砸中一名巡检人员，当场死亡</v>
      </c>
      <c r="E304" s="19" t="s">
        <v>512</v>
      </c>
      <c r="F304" s="20" t="s">
        <v>42</v>
      </c>
      <c r="G304" s="21" t="s">
        <v>43</v>
      </c>
      <c r="H304" s="19" t="s">
        <v>44</v>
      </c>
      <c r="I304" s="19"/>
      <c r="J304" s="19" t="s">
        <v>46</v>
      </c>
      <c r="K304" s="19" t="s">
        <v>69</v>
      </c>
      <c r="L304" s="19"/>
      <c r="M304" s="19" t="s">
        <v>117</v>
      </c>
      <c r="N304" s="19" t="s">
        <v>1172</v>
      </c>
      <c r="O304" s="19" t="s">
        <v>117</v>
      </c>
      <c r="P304" s="19" t="s">
        <v>937</v>
      </c>
      <c r="Q304" s="19" t="s">
        <v>1559</v>
      </c>
      <c r="R304" s="19" t="s">
        <v>1190</v>
      </c>
      <c r="S304" s="19" t="s">
        <v>1565</v>
      </c>
      <c r="T304" s="19" t="s">
        <v>54</v>
      </c>
      <c r="U304" s="19" t="s">
        <v>121</v>
      </c>
      <c r="V304" s="19" t="s">
        <v>271</v>
      </c>
      <c r="W304" s="19" t="s">
        <v>122</v>
      </c>
      <c r="X304" s="19" t="s">
        <v>123</v>
      </c>
      <c r="Y304" s="19"/>
      <c r="Z304" s="19" t="s">
        <v>1566</v>
      </c>
      <c r="AA304" s="19">
        <v>1</v>
      </c>
      <c r="AB304" s="19">
        <v>1</v>
      </c>
      <c r="AC304" s="19" t="s">
        <v>60</v>
      </c>
      <c r="AD304" s="19" t="s">
        <v>937</v>
      </c>
      <c r="AE304" s="19" t="s">
        <v>1139</v>
      </c>
      <c r="AF304" s="19" t="s">
        <v>1567</v>
      </c>
    </row>
    <row r="305" spans="1:34">
      <c r="A305" s="19">
        <v>297</v>
      </c>
      <c r="B305" s="19" t="s">
        <v>1564</v>
      </c>
      <c r="C305" s="19" t="s">
        <v>879</v>
      </c>
      <c r="D305" s="19" t="str">
        <f>HYPERLINK("http://www.henontech.com/fieldsafety/harzard/harzard_show.php?rid=4069&amp;url=harzardrecs.php","汽机房楼顶照明灯电线裸露，一员工巡检时从此经过，不慎触碰裸露电线，触电倒地，经现场心肺复苏后并送医抢救，经抢救无效死亡。")</f>
        <v>汽机房楼顶照明灯电线裸露，一员工巡检时从此经过，不慎触碰裸露电线，触电倒地，经现场心肺复苏后并送医抢救，经抢救无效死亡。</v>
      </c>
      <c r="E305" s="19" t="s">
        <v>682</v>
      </c>
      <c r="F305" s="20" t="s">
        <v>42</v>
      </c>
      <c r="G305" s="21" t="s">
        <v>43</v>
      </c>
      <c r="H305" s="19" t="s">
        <v>44</v>
      </c>
      <c r="I305" s="19" t="s">
        <v>67</v>
      </c>
      <c r="J305" s="19" t="s">
        <v>68</v>
      </c>
      <c r="K305" s="19" t="s">
        <v>47</v>
      </c>
      <c r="L305" s="19" t="s">
        <v>48</v>
      </c>
      <c r="M305" s="19" t="s">
        <v>117</v>
      </c>
      <c r="N305" s="19" t="s">
        <v>1149</v>
      </c>
      <c r="O305" s="19" t="s">
        <v>117</v>
      </c>
      <c r="P305" s="19" t="s">
        <v>937</v>
      </c>
      <c r="Q305" s="19" t="s">
        <v>1559</v>
      </c>
      <c r="R305" s="19" t="s">
        <v>1568</v>
      </c>
      <c r="S305" s="19" t="s">
        <v>1569</v>
      </c>
      <c r="T305" s="19" t="s">
        <v>54</v>
      </c>
      <c r="U305" s="19" t="s">
        <v>121</v>
      </c>
      <c r="V305" s="19" t="s">
        <v>56</v>
      </c>
      <c r="W305" s="19" t="s">
        <v>122</v>
      </c>
      <c r="X305" s="19" t="s">
        <v>58</v>
      </c>
      <c r="Y305" s="19"/>
      <c r="Z305" s="19" t="s">
        <v>1570</v>
      </c>
      <c r="AA305" s="19">
        <v>1</v>
      </c>
      <c r="AB305" s="19">
        <v>1</v>
      </c>
      <c r="AC305" s="19" t="s">
        <v>60</v>
      </c>
      <c r="AD305" s="19" t="s">
        <v>937</v>
      </c>
      <c r="AE305" s="19" t="s">
        <v>1139</v>
      </c>
      <c r="AF305" s="19" t="s">
        <v>1571</v>
      </c>
    </row>
    <row r="306" spans="1:34">
      <c r="A306" s="19">
        <v>298</v>
      </c>
      <c r="B306" s="19" t="s">
        <v>1564</v>
      </c>
      <c r="C306" s="19" t="s">
        <v>879</v>
      </c>
      <c r="D306" s="19" t="str">
        <f>HYPERLINK("http://www.henontech.com/fieldsafety/harzard/harzard_show.php?rid=4071&amp;url=harzardrecs.php","4#减温减压电动门缺防雨罩，阀杆易锈蚀、卡涩，无法开关，造成阀门损坏，财产损失一万元。")</f>
        <v>4#减温减压电动门缺防雨罩，阀杆易锈蚀、卡涩，无法开关，造成阀门损坏，财产损失一万元。</v>
      </c>
      <c r="E306" s="19" t="s">
        <v>1572</v>
      </c>
      <c r="F306" s="20" t="s">
        <v>42</v>
      </c>
      <c r="G306" s="21" t="s">
        <v>43</v>
      </c>
      <c r="H306" s="19" t="s">
        <v>44</v>
      </c>
      <c r="I306" s="19" t="s">
        <v>67</v>
      </c>
      <c r="J306" s="19" t="s">
        <v>68</v>
      </c>
      <c r="K306" s="19" t="s">
        <v>69</v>
      </c>
      <c r="L306" s="19" t="s">
        <v>48</v>
      </c>
      <c r="M306" s="19" t="s">
        <v>117</v>
      </c>
      <c r="N306" s="19" t="s">
        <v>1573</v>
      </c>
      <c r="O306" s="19" t="s">
        <v>117</v>
      </c>
      <c r="P306" s="19" t="s">
        <v>937</v>
      </c>
      <c r="Q306" s="19" t="s">
        <v>1559</v>
      </c>
      <c r="R306" s="19" t="s">
        <v>1574</v>
      </c>
      <c r="S306" s="19" t="s">
        <v>1575</v>
      </c>
      <c r="T306" s="19" t="s">
        <v>100</v>
      </c>
      <c r="U306" s="19" t="s">
        <v>192</v>
      </c>
      <c r="V306" s="19" t="s">
        <v>101</v>
      </c>
      <c r="W306" s="19" t="s">
        <v>77</v>
      </c>
      <c r="X306" s="19" t="s">
        <v>58</v>
      </c>
      <c r="Y306" s="19"/>
      <c r="Z306" s="19" t="s">
        <v>1576</v>
      </c>
      <c r="AA306" s="19">
        <v>1</v>
      </c>
      <c r="AB306" s="19">
        <v>1</v>
      </c>
      <c r="AC306" s="19" t="s">
        <v>60</v>
      </c>
      <c r="AD306" s="19" t="s">
        <v>937</v>
      </c>
      <c r="AE306" s="19" t="s">
        <v>1123</v>
      </c>
      <c r="AF306" s="19" t="s">
        <v>1577</v>
      </c>
    </row>
    <row r="307" spans="1:34">
      <c r="A307" s="19">
        <v>299</v>
      </c>
      <c r="B307" s="19" t="s">
        <v>1564</v>
      </c>
      <c r="C307" s="19" t="s">
        <v>1380</v>
      </c>
      <c r="D307" s="19" t="str">
        <f>HYPERLINK("http://www.henontech.com/fieldsafety/harzard/harzard_show.php?rid=4079&amp;url=harzardrecs.php","消防水池南边爬梯台阶无防滑条，一名员工在巡检完下爬楼时脚底打滑，从4米高处跌落，造成左脚脚踝骨折，送医治疗，休养100天，造成损工事故。")</f>
        <v>消防水池南边爬梯台阶无防滑条，一名员工在巡检完下爬楼时脚底打滑，从4米高处跌落，造成左脚脚踝骨折，送医治疗，休养100天，造成损工事故。</v>
      </c>
      <c r="E307" s="19" t="s">
        <v>1578</v>
      </c>
      <c r="F307" s="20" t="s">
        <v>42</v>
      </c>
      <c r="G307" s="21" t="s">
        <v>43</v>
      </c>
      <c r="H307" s="19" t="s">
        <v>44</v>
      </c>
      <c r="I307" s="19" t="s">
        <v>45</v>
      </c>
      <c r="J307" s="19" t="s">
        <v>46</v>
      </c>
      <c r="K307" s="19" t="s">
        <v>166</v>
      </c>
      <c r="L307" s="19"/>
      <c r="M307" s="19" t="s">
        <v>117</v>
      </c>
      <c r="N307" s="19" t="s">
        <v>1019</v>
      </c>
      <c r="O307" s="19" t="s">
        <v>117</v>
      </c>
      <c r="P307" s="19" t="s">
        <v>224</v>
      </c>
      <c r="Q307" s="19" t="s">
        <v>1559</v>
      </c>
      <c r="R307" s="19" t="s">
        <v>1579</v>
      </c>
      <c r="S307" s="19" t="s">
        <v>1580</v>
      </c>
      <c r="T307" s="19" t="s">
        <v>54</v>
      </c>
      <c r="U307" s="19" t="s">
        <v>55</v>
      </c>
      <c r="V307" s="19" t="s">
        <v>101</v>
      </c>
      <c r="W307" s="19" t="s">
        <v>138</v>
      </c>
      <c r="X307" s="19" t="s">
        <v>743</v>
      </c>
      <c r="Y307" s="19"/>
      <c r="Z307" s="19" t="s">
        <v>1581</v>
      </c>
      <c r="AA307" s="19">
        <v>1</v>
      </c>
      <c r="AB307" s="19">
        <v>1</v>
      </c>
      <c r="AC307" s="19" t="s">
        <v>60</v>
      </c>
      <c r="AD307" s="19" t="s">
        <v>224</v>
      </c>
      <c r="AE307" s="19" t="s">
        <v>1074</v>
      </c>
      <c r="AF307" s="19"/>
    </row>
    <row r="308" spans="1:34">
      <c r="A308" s="19">
        <v>300</v>
      </c>
      <c r="B308" s="19" t="s">
        <v>1564</v>
      </c>
      <c r="C308" s="19" t="s">
        <v>1262</v>
      </c>
      <c r="D308" s="19" t="str">
        <f>HYPERLINK("http://www.henontech.com/fieldsafety/harzard/harzard_show.php?rid=4080&amp;url=harzardrecs.php","化产车间制氮机房铁板未清理，如果一名巡检工巡检时经过，脚掌踢到铁板摔倒，膝盖擦伤，消毒处理休息一会，继续工作。")</f>
        <v>化产车间制氮机房铁板未清理，如果一名巡检工巡检时经过，脚掌踢到铁板摔倒，膝盖擦伤，消毒处理休息一会，继续工作。</v>
      </c>
      <c r="E308" s="19" t="s">
        <v>1582</v>
      </c>
      <c r="F308" s="20" t="s">
        <v>42</v>
      </c>
      <c r="G308" s="21" t="s">
        <v>43</v>
      </c>
      <c r="H308" s="19" t="s">
        <v>44</v>
      </c>
      <c r="I308" s="19" t="s">
        <v>45</v>
      </c>
      <c r="J308" s="19" t="s">
        <v>334</v>
      </c>
      <c r="K308" s="19" t="s">
        <v>145</v>
      </c>
      <c r="L308" s="19" t="s">
        <v>48</v>
      </c>
      <c r="M308" s="19" t="s">
        <v>70</v>
      </c>
      <c r="N308" s="19" t="s">
        <v>261</v>
      </c>
      <c r="O308" s="19" t="s">
        <v>70</v>
      </c>
      <c r="P308" s="19" t="s">
        <v>72</v>
      </c>
      <c r="Q308" s="19" t="s">
        <v>1583</v>
      </c>
      <c r="R308" s="19" t="s">
        <v>1584</v>
      </c>
      <c r="S308" s="19"/>
      <c r="T308" s="19" t="s">
        <v>54</v>
      </c>
      <c r="U308" s="19" t="s">
        <v>75</v>
      </c>
      <c r="V308" s="19" t="s">
        <v>101</v>
      </c>
      <c r="W308" s="19" t="s">
        <v>77</v>
      </c>
      <c r="X308" s="19"/>
      <c r="Y308" s="19"/>
      <c r="Z308" s="19" t="s">
        <v>1585</v>
      </c>
      <c r="AA308" s="19">
        <v>1</v>
      </c>
      <c r="AB308" s="19">
        <v>1</v>
      </c>
      <c r="AC308" s="19" t="s">
        <v>60</v>
      </c>
      <c r="AD308" s="19" t="s">
        <v>72</v>
      </c>
      <c r="AE308" s="19" t="s">
        <v>1202</v>
      </c>
      <c r="AF308" s="19"/>
    </row>
    <row r="309" spans="1:34">
      <c r="A309" s="19">
        <v>301</v>
      </c>
      <c r="B309" s="19" t="s">
        <v>1344</v>
      </c>
      <c r="C309" s="19" t="s">
        <v>1118</v>
      </c>
      <c r="D309" s="19" t="str">
        <f>HYPERLINK("http://www.henontech.com/fieldsafety/harzard/harzard_show.php?rid=4101&amp;url=harzardrecs.php","锅炉给水泵房西侧电缆桥架盖板未固定，一名巡检人员从此处经过时，电缆盖板从五米高处掉落，砸中左肩，造成左肩骨折，送医治疗。，休养100天。")</f>
        <v>锅炉给水泵房西侧电缆桥架盖板未固定，一名巡检人员从此处经过时，电缆盖板从五米高处掉落，砸中左肩，造成左肩骨折，送医治疗。，休养100天。</v>
      </c>
      <c r="E309" s="19" t="s">
        <v>1586</v>
      </c>
      <c r="F309" s="20" t="s">
        <v>42</v>
      </c>
      <c r="G309" s="21" t="s">
        <v>43</v>
      </c>
      <c r="H309" s="19" t="s">
        <v>44</v>
      </c>
      <c r="I309" s="19" t="s">
        <v>45</v>
      </c>
      <c r="J309" s="19" t="s">
        <v>46</v>
      </c>
      <c r="K309" s="19" t="s">
        <v>69</v>
      </c>
      <c r="L309" s="19" t="s">
        <v>48</v>
      </c>
      <c r="M309" s="19" t="s">
        <v>117</v>
      </c>
      <c r="N309" s="19" t="s">
        <v>775</v>
      </c>
      <c r="O309" s="19" t="s">
        <v>117</v>
      </c>
      <c r="P309" s="19" t="s">
        <v>635</v>
      </c>
      <c r="Q309" s="19" t="s">
        <v>1559</v>
      </c>
      <c r="R309" s="19" t="s">
        <v>1587</v>
      </c>
      <c r="S309" s="19" t="s">
        <v>1588</v>
      </c>
      <c r="T309" s="19" t="s">
        <v>54</v>
      </c>
      <c r="U309" s="19" t="s">
        <v>55</v>
      </c>
      <c r="V309" s="19" t="s">
        <v>101</v>
      </c>
      <c r="W309" s="19" t="s">
        <v>138</v>
      </c>
      <c r="X309" s="19" t="s">
        <v>58</v>
      </c>
      <c r="Y309" s="19"/>
      <c r="Z309" s="19" t="s">
        <v>1589</v>
      </c>
      <c r="AA309" s="19">
        <v>1</v>
      </c>
      <c r="AB309" s="19">
        <v>1</v>
      </c>
      <c r="AC309" s="19" t="s">
        <v>60</v>
      </c>
      <c r="AD309" s="19" t="s">
        <v>635</v>
      </c>
      <c r="AE309" s="19" t="s">
        <v>1088</v>
      </c>
      <c r="AF309" s="19" t="s">
        <v>1590</v>
      </c>
    </row>
    <row r="310" spans="1:34">
      <c r="A310" s="19">
        <v>302</v>
      </c>
      <c r="B310" s="19" t="s">
        <v>1344</v>
      </c>
      <c r="C310" s="19" t="s">
        <v>1380</v>
      </c>
      <c r="D310" s="19" t="str">
        <f>HYPERLINK("http://www.henontech.com/fieldsafety/harzard/harzard_show.php?rid=4102&amp;url=harzardrecs.php","循环水至消防水池放水管线跨越桥架腐蚀严重、断裂，桥架距离地面1米，一名巡检人员巡检过程中，踩踏桥架时，桥架突然整体断裂，人员跌落，左臂碰在水泥地面上，造成左臂骨裂，送医治疗。")</f>
        <v>循环水至消防水池放水管线跨越桥架腐蚀严重、断裂，桥架距离地面1米，一名巡检人员巡检过程中，踩踏桥架时，桥架突然整体断裂，人员跌落，左臂碰在水泥地面上，造成左臂骨裂，送医治疗。</v>
      </c>
      <c r="E310" s="19" t="s">
        <v>1591</v>
      </c>
      <c r="F310" s="20" t="s">
        <v>42</v>
      </c>
      <c r="G310" s="21" t="s">
        <v>43</v>
      </c>
      <c r="H310" s="19" t="s">
        <v>44</v>
      </c>
      <c r="I310" s="19" t="s">
        <v>45</v>
      </c>
      <c r="J310" s="19" t="s">
        <v>46</v>
      </c>
      <c r="K310" s="19" t="s">
        <v>69</v>
      </c>
      <c r="L310" s="19" t="s">
        <v>48</v>
      </c>
      <c r="M310" s="19" t="s">
        <v>117</v>
      </c>
      <c r="N310" s="19" t="s">
        <v>735</v>
      </c>
      <c r="O310" s="19" t="s">
        <v>117</v>
      </c>
      <c r="P310" s="19" t="s">
        <v>635</v>
      </c>
      <c r="Q310" s="19" t="s">
        <v>1559</v>
      </c>
      <c r="R310" s="19" t="s">
        <v>1592</v>
      </c>
      <c r="S310" s="19" t="s">
        <v>1593</v>
      </c>
      <c r="T310" s="19" t="s">
        <v>54</v>
      </c>
      <c r="U310" s="19" t="s">
        <v>55</v>
      </c>
      <c r="V310" s="19" t="s">
        <v>101</v>
      </c>
      <c r="W310" s="19" t="s">
        <v>138</v>
      </c>
      <c r="X310" s="19" t="s">
        <v>58</v>
      </c>
      <c r="Y310" s="19"/>
      <c r="Z310" s="19" t="s">
        <v>1594</v>
      </c>
      <c r="AA310" s="19">
        <v>1</v>
      </c>
      <c r="AB310" s="19">
        <v>1</v>
      </c>
      <c r="AC310" s="19" t="s">
        <v>60</v>
      </c>
      <c r="AD310" s="19" t="s">
        <v>635</v>
      </c>
      <c r="AE310" s="19" t="s">
        <v>1123</v>
      </c>
      <c r="AF310" s="19"/>
    </row>
    <row r="311" spans="1:34">
      <c r="A311" s="19">
        <v>303</v>
      </c>
      <c r="B311" s="19" t="s">
        <v>1344</v>
      </c>
      <c r="C311" s="19" t="s">
        <v>879</v>
      </c>
      <c r="D311" s="19" t="str">
        <f>HYPERLINK("http://www.henontech.com/fieldsafety/harzard/harzard_show.php?rid=4104&amp;url=harzardrecs.php","通往5号减温减压的楼梯台阶无防滑条，爬梯陡高，一名员工巡检完设备下爬梯过程中，脚底打滑，不慎从3米高处跌落地面，送医治疗，经检查左脚踝扭伤，休养7天。")</f>
        <v>通往5号减温减压的楼梯台阶无防滑条，爬梯陡高，一名员工巡检完设备下爬梯过程中，脚底打滑，不慎从3米高处跌落地面，送医治疗，经检查左脚踝扭伤，休养7天。</v>
      </c>
      <c r="E311" s="19" t="s">
        <v>1595</v>
      </c>
      <c r="F311" s="20" t="s">
        <v>42</v>
      </c>
      <c r="G311" s="21" t="s">
        <v>43</v>
      </c>
      <c r="H311" s="19" t="s">
        <v>44</v>
      </c>
      <c r="I311" s="19" t="s">
        <v>45</v>
      </c>
      <c r="J311" s="19" t="s">
        <v>68</v>
      </c>
      <c r="K311" s="19" t="s">
        <v>145</v>
      </c>
      <c r="L311" s="19" t="s">
        <v>48</v>
      </c>
      <c r="M311" s="19" t="s">
        <v>117</v>
      </c>
      <c r="N311" s="19" t="s">
        <v>1156</v>
      </c>
      <c r="O311" s="19" t="s">
        <v>117</v>
      </c>
      <c r="P311" s="19" t="s">
        <v>635</v>
      </c>
      <c r="Q311" s="19" t="s">
        <v>1559</v>
      </c>
      <c r="R311" s="19" t="s">
        <v>1596</v>
      </c>
      <c r="S311" s="19" t="s">
        <v>1597</v>
      </c>
      <c r="T311" s="19" t="s">
        <v>54</v>
      </c>
      <c r="U311" s="19" t="s">
        <v>55</v>
      </c>
      <c r="V311" s="19" t="s">
        <v>101</v>
      </c>
      <c r="W311" s="19" t="s">
        <v>138</v>
      </c>
      <c r="X311" s="19" t="s">
        <v>123</v>
      </c>
      <c r="Y311" s="19"/>
      <c r="Z311" s="19" t="s">
        <v>1598</v>
      </c>
      <c r="AA311" s="19">
        <v>1</v>
      </c>
      <c r="AB311" s="19">
        <v>1</v>
      </c>
      <c r="AC311" s="19" t="s">
        <v>60</v>
      </c>
      <c r="AD311" s="19" t="s">
        <v>635</v>
      </c>
      <c r="AE311" s="19" t="s">
        <v>1123</v>
      </c>
      <c r="AF311" s="19"/>
    </row>
    <row r="312" spans="1:34">
      <c r="A312" s="19">
        <v>304</v>
      </c>
      <c r="B312" s="19" t="s">
        <v>1339</v>
      </c>
      <c r="C312" s="19" t="s">
        <v>1118</v>
      </c>
      <c r="D312" s="19" t="str">
        <f>HYPERLINK("http://www.henontech.com/fieldsafety/harzard/harzard_show.php?rid=4116&amp;url=harzardrecs.php","防护措施未落实到位，干熄焦区域东地面除尘平台护板开焊，如果操作工巡检过程中不小心踩踏，导致操作工跌落。")</f>
        <v>防护措施未落实到位，干熄焦区域东地面除尘平台护板开焊，如果操作工巡检过程中不小心踩踏，导致操作工跌落。</v>
      </c>
      <c r="E312" s="19" t="s">
        <v>1599</v>
      </c>
      <c r="F312" s="20" t="s">
        <v>42</v>
      </c>
      <c r="G312" s="21" t="s">
        <v>43</v>
      </c>
      <c r="H312" s="19" t="s">
        <v>44</v>
      </c>
      <c r="I312" s="19" t="s">
        <v>45</v>
      </c>
      <c r="J312" s="19" t="s">
        <v>68</v>
      </c>
      <c r="K312" s="19"/>
      <c r="L312" s="19"/>
      <c r="M312" s="19" t="s">
        <v>117</v>
      </c>
      <c r="N312" s="19" t="s">
        <v>1600</v>
      </c>
      <c r="O312" s="19" t="s">
        <v>117</v>
      </c>
      <c r="P312" s="19" t="s">
        <v>224</v>
      </c>
      <c r="Q312" s="19" t="s">
        <v>1559</v>
      </c>
      <c r="R312" s="19" t="s">
        <v>1601</v>
      </c>
      <c r="S312" s="19" t="s">
        <v>1602</v>
      </c>
      <c r="T312" s="19" t="s">
        <v>54</v>
      </c>
      <c r="U312" s="19" t="s">
        <v>121</v>
      </c>
      <c r="V312" s="19" t="s">
        <v>56</v>
      </c>
      <c r="W312" s="19" t="s">
        <v>122</v>
      </c>
      <c r="X312" s="19" t="s">
        <v>58</v>
      </c>
      <c r="Y312" s="19"/>
      <c r="Z312" s="19" t="s">
        <v>1603</v>
      </c>
      <c r="AA312" s="19">
        <v>1</v>
      </c>
      <c r="AB312" s="19">
        <v>1</v>
      </c>
      <c r="AC312" s="19" t="s">
        <v>60</v>
      </c>
      <c r="AD312" s="19" t="s">
        <v>224</v>
      </c>
      <c r="AE312" s="19" t="s">
        <v>1132</v>
      </c>
      <c r="AF312" s="19"/>
    </row>
    <row r="313" spans="1:34">
      <c r="A313" s="19">
        <v>305</v>
      </c>
      <c r="B313" s="19" t="s">
        <v>1604</v>
      </c>
      <c r="C313" s="19" t="s">
        <v>1605</v>
      </c>
      <c r="D313" s="19" t="str">
        <f>HYPERLINK("http://www.henontech.com/fieldsafety/harzard/harzard_show.php?rid=4177&amp;url=harzardrecs.php","凉水架上电缆桥架盖板未固定，大风天气下会被吹落，如果巡检人员从下方经过会被吹落的桥架盖板砸到")</f>
        <v>凉水架上电缆桥架盖板未固定，大风天气下会被吹落，如果巡检人员从下方经过会被吹落的桥架盖板砸到</v>
      </c>
      <c r="E313" s="19" t="s">
        <v>1606</v>
      </c>
      <c r="F313" s="20" t="s">
        <v>42</v>
      </c>
      <c r="G313" s="21" t="s">
        <v>43</v>
      </c>
      <c r="H313" s="19" t="s">
        <v>44</v>
      </c>
      <c r="I313" s="19"/>
      <c r="J313" s="19" t="s">
        <v>46</v>
      </c>
      <c r="K313" s="19" t="s">
        <v>69</v>
      </c>
      <c r="L313" s="19"/>
      <c r="M313" s="19" t="s">
        <v>70</v>
      </c>
      <c r="N313" s="19" t="s">
        <v>71</v>
      </c>
      <c r="O313" s="19" t="s">
        <v>70</v>
      </c>
      <c r="P313" s="19" t="s">
        <v>72</v>
      </c>
      <c r="Q313" s="19" t="s">
        <v>1522</v>
      </c>
      <c r="R313" s="19" t="s">
        <v>1607</v>
      </c>
      <c r="S313" s="19"/>
      <c r="T313" s="19" t="s">
        <v>54</v>
      </c>
      <c r="U313" s="19" t="s">
        <v>55</v>
      </c>
      <c r="V313" s="19" t="s">
        <v>101</v>
      </c>
      <c r="W313" s="19" t="s">
        <v>138</v>
      </c>
      <c r="X313" s="19"/>
      <c r="Y313" s="19"/>
      <c r="Z313" s="19" t="s">
        <v>1608</v>
      </c>
      <c r="AA313" s="19">
        <v>1</v>
      </c>
      <c r="AB313" s="19">
        <v>1</v>
      </c>
      <c r="AC313" s="19" t="s">
        <v>60</v>
      </c>
      <c r="AD313" s="19" t="s">
        <v>72</v>
      </c>
      <c r="AE313" s="19" t="s">
        <v>1202</v>
      </c>
      <c r="AF313" s="19"/>
    </row>
    <row r="314" spans="1:34" customHeight="1" ht="42">
      <c r="A314" s="19">
        <v>306</v>
      </c>
      <c r="B314" s="19" t="s">
        <v>1604</v>
      </c>
      <c r="C314" s="19" t="s">
        <v>1609</v>
      </c>
      <c r="D314" s="19" t="str">
        <f>HYPERLINK("http://www.henontech.com/fieldsafety/harzard/harzard_show.php?rid=4235&amp;url=harzardrecs.php","5.5米捣鼓机通廊西侧平台离地面约15米无踢脚板，若人员在平台吊物品时1人从下方路过物品掉落被砸中头部造成1名员工死亡")</f>
        <v>5.5米捣鼓机通廊西侧平台离地面约15米无踢脚板，若人员在平台吊物品时1人从下方路过物品掉落被砸中头部造成1名员工死亡</v>
      </c>
      <c r="E314" s="19" t="s">
        <v>1610</v>
      </c>
      <c r="F314" s="20" t="s">
        <v>42</v>
      </c>
      <c r="G314" s="22" t="s">
        <v>66</v>
      </c>
      <c r="H314" s="19" t="s">
        <v>44</v>
      </c>
      <c r="I314" s="19" t="s">
        <v>67</v>
      </c>
      <c r="J314" s="19" t="s">
        <v>68</v>
      </c>
      <c r="K314" s="19" t="s">
        <v>209</v>
      </c>
      <c r="L314" s="19" t="s">
        <v>48</v>
      </c>
      <c r="M314" s="19" t="s">
        <v>117</v>
      </c>
      <c r="N314" s="19" t="s">
        <v>1611</v>
      </c>
      <c r="O314" s="19" t="s">
        <v>117</v>
      </c>
      <c r="P314" s="19" t="s">
        <v>224</v>
      </c>
      <c r="Q314" s="19" t="s">
        <v>1241</v>
      </c>
      <c r="R314" s="19" t="s">
        <v>1612</v>
      </c>
      <c r="S314" s="19"/>
      <c r="T314" s="19" t="s">
        <v>54</v>
      </c>
      <c r="U314" s="19" t="s">
        <v>121</v>
      </c>
      <c r="V314" s="19" t="s">
        <v>56</v>
      </c>
      <c r="W314" s="19" t="s">
        <v>122</v>
      </c>
      <c r="X314" s="19" t="s">
        <v>123</v>
      </c>
      <c r="Y314" s="19"/>
      <c r="Z314" s="19" t="s">
        <v>1401</v>
      </c>
      <c r="AA314" s="19">
        <v>2</v>
      </c>
      <c r="AB314" s="19">
        <v>2</v>
      </c>
      <c r="AC314" s="19" t="s">
        <v>60</v>
      </c>
      <c r="AD314" s="19" t="s">
        <v>224</v>
      </c>
      <c r="AE314" s="19" t="s">
        <v>1074</v>
      </c>
      <c r="AF314" s="19"/>
    </row>
    <row r="315" spans="1:34">
      <c r="A315" s="19">
        <v>307</v>
      </c>
      <c r="B315" s="19" t="s">
        <v>1604</v>
      </c>
      <c r="C315" s="19" t="s">
        <v>1497</v>
      </c>
      <c r="D315" s="19" t="str">
        <f>HYPERLINK("http://www.henontech.com/fieldsafety/harzard/harzard_show.php?rid=4237&amp;url=harzardrecs.php","送煤车大链条与托煤板连接夹子有裂。纹，维修人员在检修作业拆卸中发现，并及时对其进行更换")</f>
        <v>送煤车大链条与托煤板连接夹子有裂。纹，维修人员在检修作业拆卸中发现，并及时对其进行更换</v>
      </c>
      <c r="E315" s="19" t="s">
        <v>1613</v>
      </c>
      <c r="F315" s="20" t="s">
        <v>42</v>
      </c>
      <c r="G315" s="21" t="s">
        <v>43</v>
      </c>
      <c r="H315" s="19" t="s">
        <v>44</v>
      </c>
      <c r="I315" s="19" t="s">
        <v>67</v>
      </c>
      <c r="J315" s="19" t="s">
        <v>46</v>
      </c>
      <c r="K315" s="19" t="s">
        <v>47</v>
      </c>
      <c r="L315" s="19" t="s">
        <v>48</v>
      </c>
      <c r="M315" s="19" t="s">
        <v>117</v>
      </c>
      <c r="N315" s="19" t="s">
        <v>1614</v>
      </c>
      <c r="O315" s="19" t="s">
        <v>117</v>
      </c>
      <c r="P315" s="19" t="s">
        <v>224</v>
      </c>
      <c r="Q315" s="19" t="s">
        <v>1241</v>
      </c>
      <c r="R315" s="19" t="s">
        <v>1615</v>
      </c>
      <c r="S315" s="19"/>
      <c r="T315" s="19" t="s">
        <v>100</v>
      </c>
      <c r="U315" s="19" t="s">
        <v>55</v>
      </c>
      <c r="V315" s="19" t="s">
        <v>56</v>
      </c>
      <c r="W315" s="19" t="s">
        <v>57</v>
      </c>
      <c r="X315" s="19" t="s">
        <v>172</v>
      </c>
      <c r="Y315" s="19"/>
      <c r="Z315" s="19" t="s">
        <v>1616</v>
      </c>
      <c r="AA315" s="19">
        <v>2</v>
      </c>
      <c r="AB315" s="19">
        <v>2</v>
      </c>
      <c r="AC315" s="19" t="s">
        <v>60</v>
      </c>
      <c r="AD315" s="19" t="s">
        <v>224</v>
      </c>
      <c r="AE315" s="19" t="s">
        <v>1132</v>
      </c>
      <c r="AF315" s="19" t="s">
        <v>1617</v>
      </c>
    </row>
    <row r="316" spans="1:34">
      <c r="A316" s="19"/>
      <c r="B316" s="19"/>
      <c r="C316" s="19"/>
      <c r="D316" s="19" t="str">
        <f>HYPERLINK("http://www.henontech.com/fieldsafety/harzard/harzard_show.php?rid=4237&amp;url=harzardrecs.php","送煤车大链条与托煤板连接夹板有裂纹，维修作业人员在进行检修作业拆卸夹板时发现，并及时进行更换。")</f>
        <v>送煤车大链条与托煤板连接夹板有裂纹，维修作业人员在进行检修作业拆卸夹板时发现，并及时进行更换。</v>
      </c>
      <c r="E316" s="19" t="s">
        <v>1618</v>
      </c>
      <c r="F316" s="19"/>
      <c r="G316" s="19"/>
      <c r="H316" s="19"/>
      <c r="I316" s="19" t="s">
        <v>67</v>
      </c>
      <c r="J316" s="19" t="s">
        <v>46</v>
      </c>
      <c r="K316" s="19" t="s">
        <v>47</v>
      </c>
      <c r="L316" s="19" t="s">
        <v>48</v>
      </c>
      <c r="M316" s="19"/>
      <c r="N316" s="19"/>
      <c r="O316" s="19"/>
      <c r="P316" s="19"/>
      <c r="Q316" s="19"/>
      <c r="R316" s="19"/>
      <c r="S316" s="19"/>
      <c r="T316" s="19" t="s">
        <v>100</v>
      </c>
      <c r="U316" s="19" t="s">
        <v>55</v>
      </c>
      <c r="V316" s="19" t="s">
        <v>56</v>
      </c>
      <c r="W316" s="19" t="s">
        <v>57</v>
      </c>
      <c r="X316" s="19"/>
      <c r="Y316" s="19"/>
      <c r="Z316" s="19"/>
      <c r="AA316" s="19"/>
      <c r="AB316" s="19"/>
      <c r="AC316" s="19"/>
      <c r="AD316" s="19"/>
      <c r="AE316" s="19"/>
      <c r="AF316" s="19"/>
    </row>
    <row r="317" spans="1:34" customHeight="1" ht="42">
      <c r="A317" s="19">
        <v>308</v>
      </c>
      <c r="B317" s="19" t="s">
        <v>1604</v>
      </c>
      <c r="C317" s="19" t="s">
        <v>1619</v>
      </c>
      <c r="D317" s="19" t="str">
        <f>HYPERLINK("http://www.henontech.com/fieldsafety/harzard/harzard_show.php?rid=4241&amp;url=harzardrecs.php","炉顶导烟车操作室由于高温导致玻璃有裂缝，假如一名操作人员从旁边穿越玻璃破裂，造成人员手臂划伤，送医治疗休养1个月康复")</f>
        <v>炉顶导烟车操作室由于高温导致玻璃有裂缝，假如一名操作人员从旁边穿越玻璃破裂，造成人员手臂划伤，送医治疗休养1个月康复</v>
      </c>
      <c r="E317" s="19" t="s">
        <v>1620</v>
      </c>
      <c r="F317" s="20" t="s">
        <v>42</v>
      </c>
      <c r="G317" s="21" t="s">
        <v>43</v>
      </c>
      <c r="H317" s="19" t="s">
        <v>44</v>
      </c>
      <c r="I317" s="19" t="s">
        <v>67</v>
      </c>
      <c r="J317" s="19" t="s">
        <v>46</v>
      </c>
      <c r="K317" s="19" t="s">
        <v>47</v>
      </c>
      <c r="L317" s="19" t="s">
        <v>48</v>
      </c>
      <c r="M317" s="19" t="s">
        <v>117</v>
      </c>
      <c r="N317" s="19" t="s">
        <v>1621</v>
      </c>
      <c r="O317" s="19" t="s">
        <v>117</v>
      </c>
      <c r="P317" s="19" t="s">
        <v>224</v>
      </c>
      <c r="Q317" s="19" t="s">
        <v>1241</v>
      </c>
      <c r="R317" s="19" t="s">
        <v>1622</v>
      </c>
      <c r="S317" s="19"/>
      <c r="T317" s="19" t="s">
        <v>54</v>
      </c>
      <c r="U317" s="19" t="s">
        <v>55</v>
      </c>
      <c r="V317" s="19" t="s">
        <v>56</v>
      </c>
      <c r="W317" s="19" t="s">
        <v>57</v>
      </c>
      <c r="X317" s="19" t="s">
        <v>123</v>
      </c>
      <c r="Y317" s="19"/>
      <c r="Z317" s="19" t="s">
        <v>1623</v>
      </c>
      <c r="AA317" s="19">
        <v>2</v>
      </c>
      <c r="AB317" s="19">
        <v>2</v>
      </c>
      <c r="AC317" s="19" t="s">
        <v>60</v>
      </c>
      <c r="AD317" s="19" t="s">
        <v>224</v>
      </c>
      <c r="AE317" s="19" t="s">
        <v>1074</v>
      </c>
      <c r="AF317" s="19"/>
    </row>
    <row r="318" spans="1:34" customHeight="1" ht="42">
      <c r="A318" s="19">
        <v>309</v>
      </c>
      <c r="B318" s="19" t="s">
        <v>1604</v>
      </c>
      <c r="C318" s="19" t="s">
        <v>1500</v>
      </c>
      <c r="D318" s="19" t="str">
        <f>HYPERLINK("http://www.henontech.com/fieldsafety/harzard/harzard_show.php?rid=4244&amp;url=harzardrecs.php","5.5米推焦车推焦杆电机平台爬梯板变形严重，假设一名操作人员在巡检时踏空滑倒。造成一名操作人员脚部骨折，住院治疗15天。")</f>
        <v>5.5米推焦车推焦杆电机平台爬梯板变形严重，假设一名操作人员在巡检时踏空滑倒。造成一名操作人员脚部骨折，住院治疗15天。</v>
      </c>
      <c r="E318" s="19" t="s">
        <v>1624</v>
      </c>
      <c r="F318" s="20" t="s">
        <v>42</v>
      </c>
      <c r="G318" s="21" t="s">
        <v>43</v>
      </c>
      <c r="H318" s="19" t="s">
        <v>44</v>
      </c>
      <c r="I318" s="19" t="s">
        <v>67</v>
      </c>
      <c r="J318" s="19" t="s">
        <v>46</v>
      </c>
      <c r="K318" s="19" t="s">
        <v>166</v>
      </c>
      <c r="L318" s="19" t="s">
        <v>48</v>
      </c>
      <c r="M318" s="19" t="s">
        <v>117</v>
      </c>
      <c r="N318" s="19" t="s">
        <v>1625</v>
      </c>
      <c r="O318" s="19" t="s">
        <v>117</v>
      </c>
      <c r="P318" s="19" t="s">
        <v>224</v>
      </c>
      <c r="Q318" s="19" t="s">
        <v>1241</v>
      </c>
      <c r="R318" s="19" t="s">
        <v>1458</v>
      </c>
      <c r="S318" s="19"/>
      <c r="T318" s="19" t="s">
        <v>54</v>
      </c>
      <c r="U318" s="19" t="s">
        <v>55</v>
      </c>
      <c r="V318" s="19" t="s">
        <v>271</v>
      </c>
      <c r="W318" s="19" t="s">
        <v>122</v>
      </c>
      <c r="X318" s="19" t="s">
        <v>123</v>
      </c>
      <c r="Y318" s="19"/>
      <c r="Z318" s="19" t="s">
        <v>1626</v>
      </c>
      <c r="AA318" s="19">
        <v>2</v>
      </c>
      <c r="AB318" s="19">
        <v>2</v>
      </c>
      <c r="AC318" s="19" t="s">
        <v>60</v>
      </c>
      <c r="AD318" s="19" t="s">
        <v>224</v>
      </c>
      <c r="AE318" s="19" t="s">
        <v>1074</v>
      </c>
      <c r="AF318" s="19"/>
    </row>
    <row r="319" spans="1:34">
      <c r="A319" s="19">
        <v>310</v>
      </c>
      <c r="B319" s="19" t="s">
        <v>1604</v>
      </c>
      <c r="C319" s="19" t="s">
        <v>1627</v>
      </c>
      <c r="D319" s="19" t="str">
        <f>HYPERLINK("http://www.henontech.com/fieldsafety/harzard/harzard_show.php?rid=4246&amp;url=harzardrecs.php","焦油罐区液下泵电机防雨罩腐蚀严重，下雨导致电机进水，使电机烧毁")</f>
        <v>焦油罐区液下泵电机防雨罩腐蚀严重，下雨导致电机进水，使电机烧毁</v>
      </c>
      <c r="E319" s="19" t="s">
        <v>1628</v>
      </c>
      <c r="F319" s="20" t="s">
        <v>42</v>
      </c>
      <c r="G319" s="21" t="s">
        <v>43</v>
      </c>
      <c r="H319" s="19" t="s">
        <v>44</v>
      </c>
      <c r="I319" s="19"/>
      <c r="J319" s="19" t="s">
        <v>68</v>
      </c>
      <c r="K319" s="19" t="s">
        <v>69</v>
      </c>
      <c r="L319" s="19"/>
      <c r="M319" s="19" t="s">
        <v>70</v>
      </c>
      <c r="N319" s="19" t="s">
        <v>720</v>
      </c>
      <c r="O319" s="19" t="s">
        <v>70</v>
      </c>
      <c r="P319" s="19" t="s">
        <v>72</v>
      </c>
      <c r="Q319" s="19" t="s">
        <v>1522</v>
      </c>
      <c r="R319" s="19" t="s">
        <v>1629</v>
      </c>
      <c r="S319" s="19"/>
      <c r="T319" s="19" t="s">
        <v>100</v>
      </c>
      <c r="U319" s="19" t="s">
        <v>192</v>
      </c>
      <c r="V319" s="19" t="s">
        <v>101</v>
      </c>
      <c r="W319" s="19" t="s">
        <v>77</v>
      </c>
      <c r="X319" s="19"/>
      <c r="Y319" s="19"/>
      <c r="Z319" s="19" t="s">
        <v>1630</v>
      </c>
      <c r="AA319" s="19">
        <v>1</v>
      </c>
      <c r="AB319" s="19">
        <v>1</v>
      </c>
      <c r="AC319" s="19" t="s">
        <v>60</v>
      </c>
      <c r="AD319" s="19" t="s">
        <v>72</v>
      </c>
      <c r="AE319" s="19" t="s">
        <v>1202</v>
      </c>
      <c r="AF319" s="19"/>
    </row>
    <row r="320" spans="1:34" customHeight="1" ht="42">
      <c r="A320" s="19">
        <v>311</v>
      </c>
      <c r="B320" s="19" t="s">
        <v>1405</v>
      </c>
      <c r="C320" s="19" t="s">
        <v>1497</v>
      </c>
      <c r="D320" s="19" t="str">
        <f>HYPERLINK("http://www.henontech.com/fieldsafety/harzard/harzard_show.php?rid=4258&amp;url=harzardrecs.php","5.5米送煤车驾驶室平台铁板腐烂，操作人员在清理现场时一旦踩破身体失去平衡造成一名操作人员小腿扭伤。住院治疗三天，在家休养七天。")</f>
        <v>5.5米送煤车驾驶室平台铁板腐烂，操作人员在清理现场时一旦踩破身体失去平衡造成一名操作人员小腿扭伤。住院治疗三天，在家休养七天。</v>
      </c>
      <c r="E320" s="19" t="s">
        <v>1631</v>
      </c>
      <c r="F320" s="20" t="s">
        <v>42</v>
      </c>
      <c r="G320" s="21" t="s">
        <v>43</v>
      </c>
      <c r="H320" s="19" t="s">
        <v>44</v>
      </c>
      <c r="I320" s="19" t="s">
        <v>67</v>
      </c>
      <c r="J320" s="19" t="s">
        <v>46</v>
      </c>
      <c r="K320" s="19" t="s">
        <v>47</v>
      </c>
      <c r="L320" s="19" t="s">
        <v>48</v>
      </c>
      <c r="M320" s="19" t="s">
        <v>117</v>
      </c>
      <c r="N320" s="19" t="s">
        <v>1632</v>
      </c>
      <c r="O320" s="19" t="s">
        <v>117</v>
      </c>
      <c r="P320" s="19" t="s">
        <v>224</v>
      </c>
      <c r="Q320" s="19" t="s">
        <v>1241</v>
      </c>
      <c r="R320" s="19" t="s">
        <v>1633</v>
      </c>
      <c r="S320" s="19"/>
      <c r="T320" s="19" t="s">
        <v>54</v>
      </c>
      <c r="U320" s="19" t="s">
        <v>75</v>
      </c>
      <c r="V320" s="19" t="s">
        <v>271</v>
      </c>
      <c r="W320" s="19" t="s">
        <v>57</v>
      </c>
      <c r="X320" s="19" t="s">
        <v>123</v>
      </c>
      <c r="Y320" s="19"/>
      <c r="Z320" s="19" t="s">
        <v>1634</v>
      </c>
      <c r="AA320" s="19">
        <v>2</v>
      </c>
      <c r="AB320" s="19">
        <v>2</v>
      </c>
      <c r="AC320" s="19" t="s">
        <v>60</v>
      </c>
      <c r="AD320" s="19" t="s">
        <v>224</v>
      </c>
      <c r="AE320" s="19" t="s">
        <v>1074</v>
      </c>
      <c r="AF320" s="19"/>
    </row>
    <row r="321" spans="1:34">
      <c r="A321" s="19">
        <v>312</v>
      </c>
      <c r="B321" s="19" t="s">
        <v>1405</v>
      </c>
      <c r="C321" s="19" t="s">
        <v>549</v>
      </c>
      <c r="D321" s="19" t="str">
        <f>HYPERLINK("http://www.henontech.com/fieldsafety/harzard/harzard_show.php?rid=4259&amp;url=harzardrecs.php","一名职工在巡检南风机工段2号电捕时，由于高压发生器输出电缆老化绝缘降低造成电缆漏电致使该名职工电击摔倒后脚部扭伤，送医务室简单处理后继续上班")</f>
        <v>一名职工在巡检南风机工段2号电捕时，由于高压发生器输出电缆老化绝缘降低造成电缆漏电致使该名职工电击摔倒后脚部扭伤，送医务室简单处理后继续上班</v>
      </c>
      <c r="E321" s="19" t="s">
        <v>1635</v>
      </c>
      <c r="F321" s="20" t="s">
        <v>42</v>
      </c>
      <c r="G321" s="21" t="s">
        <v>43</v>
      </c>
      <c r="H321" s="19" t="s">
        <v>44</v>
      </c>
      <c r="I321" s="19" t="s">
        <v>67</v>
      </c>
      <c r="J321" s="19" t="s">
        <v>46</v>
      </c>
      <c r="K321" s="19" t="s">
        <v>69</v>
      </c>
      <c r="L321" s="19"/>
      <c r="M321" s="19" t="s">
        <v>70</v>
      </c>
      <c r="N321" s="19" t="s">
        <v>454</v>
      </c>
      <c r="O321" s="19" t="s">
        <v>70</v>
      </c>
      <c r="P321" s="19" t="s">
        <v>72</v>
      </c>
      <c r="Q321" s="19" t="s">
        <v>1636</v>
      </c>
      <c r="R321" s="19" t="s">
        <v>1637</v>
      </c>
      <c r="S321" s="19"/>
      <c r="T321" s="19" t="s">
        <v>54</v>
      </c>
      <c r="U321" s="19" t="s">
        <v>75</v>
      </c>
      <c r="V321" s="19" t="s">
        <v>56</v>
      </c>
      <c r="W321" s="19" t="s">
        <v>138</v>
      </c>
      <c r="X321" s="19"/>
      <c r="Y321" s="19"/>
      <c r="Z321" s="19" t="s">
        <v>1638</v>
      </c>
      <c r="AA321" s="19">
        <v>1</v>
      </c>
      <c r="AB321" s="19">
        <v>1</v>
      </c>
      <c r="AC321" s="19" t="s">
        <v>60</v>
      </c>
      <c r="AD321" s="19" t="s">
        <v>72</v>
      </c>
      <c r="AE321" s="19" t="s">
        <v>1202</v>
      </c>
      <c r="AF321" s="19"/>
    </row>
    <row r="322" spans="1:34">
      <c r="A322" s="19">
        <v>313</v>
      </c>
      <c r="B322" s="19" t="s">
        <v>1405</v>
      </c>
      <c r="C322" s="19" t="s">
        <v>1639</v>
      </c>
      <c r="D322" s="19" t="str">
        <f>HYPERLINK("http://www.henontech.com/fieldsafety/harzard/harzard_show.php?rid=4260&amp;url=harzardrecs.php","一名外来施工人员在施工过程中，由于框架狭窄一只脚踩框架，一只脚踩梯子，未系安全带在转身拿工具时，不慎坠落地面，造成腿部骨折")</f>
        <v>一名外来施工人员在施工过程中，由于框架狭窄一只脚踩框架，一只脚踩梯子，未系安全带在转身拿工具时，不慎坠落地面，造成腿部骨折</v>
      </c>
      <c r="E322" s="19" t="s">
        <v>1640</v>
      </c>
      <c r="F322" s="20" t="s">
        <v>42</v>
      </c>
      <c r="G322" s="21" t="s">
        <v>43</v>
      </c>
      <c r="H322" s="19" t="s">
        <v>44</v>
      </c>
      <c r="I322" s="19" t="s">
        <v>45</v>
      </c>
      <c r="J322" s="19" t="s">
        <v>68</v>
      </c>
      <c r="K322" s="19" t="s">
        <v>69</v>
      </c>
      <c r="L322" s="19" t="s">
        <v>280</v>
      </c>
      <c r="M322" s="19" t="s">
        <v>70</v>
      </c>
      <c r="N322" s="19" t="s">
        <v>585</v>
      </c>
      <c r="O322" s="19" t="s">
        <v>70</v>
      </c>
      <c r="P322" s="19" t="s">
        <v>72</v>
      </c>
      <c r="Q322" s="19" t="s">
        <v>1641</v>
      </c>
      <c r="R322" s="19" t="s">
        <v>549</v>
      </c>
      <c r="S322" s="19"/>
      <c r="T322" s="19" t="s">
        <v>54</v>
      </c>
      <c r="U322" s="19" t="s">
        <v>55</v>
      </c>
      <c r="V322" s="19" t="s">
        <v>56</v>
      </c>
      <c r="W322" s="19" t="s">
        <v>57</v>
      </c>
      <c r="X322" s="19"/>
      <c r="Y322" s="19"/>
      <c r="Z322" s="19" t="s">
        <v>1642</v>
      </c>
      <c r="AA322" s="19">
        <v>1</v>
      </c>
      <c r="AB322" s="19">
        <v>1</v>
      </c>
      <c r="AC322" s="19" t="s">
        <v>60</v>
      </c>
      <c r="AD322" s="19" t="s">
        <v>72</v>
      </c>
      <c r="AE322" s="19" t="s">
        <v>1202</v>
      </c>
      <c r="AF322" s="19"/>
    </row>
    <row r="323" spans="1:34">
      <c r="A323" s="19">
        <v>314</v>
      </c>
      <c r="B323" s="19" t="s">
        <v>1415</v>
      </c>
      <c r="C323" s="19" t="s">
        <v>49</v>
      </c>
      <c r="D323" s="19" t="str">
        <f>HYPERLINK("http://www.henontech.com/fieldsafety/harzard/harzard_show.php?rid=4273&amp;url=harzardrecs.php","西硫铵原dxs各点迁至新系统，现场各点线路剪裁接入新系统")</f>
        <v>西硫铵原dxs各点迁至新系统，现场各点线路剪裁接入新系统</v>
      </c>
      <c r="E323" s="19" t="s">
        <v>1643</v>
      </c>
      <c r="F323" s="24" t="s">
        <v>387</v>
      </c>
      <c r="G323" s="21" t="s">
        <v>43</v>
      </c>
      <c r="H323" s="19" t="s">
        <v>44</v>
      </c>
      <c r="I323" s="19"/>
      <c r="J323" s="19" t="s">
        <v>46</v>
      </c>
      <c r="K323" s="19"/>
      <c r="L323" s="19"/>
      <c r="M323" s="19" t="s">
        <v>70</v>
      </c>
      <c r="N323" s="19" t="s">
        <v>1644</v>
      </c>
      <c r="O323" s="19"/>
      <c r="P323" s="19"/>
      <c r="Q323" s="19"/>
      <c r="R323" s="19" t="s">
        <v>1645</v>
      </c>
      <c r="S323" s="19" t="s">
        <v>1646</v>
      </c>
      <c r="T323" s="19" t="s">
        <v>100</v>
      </c>
      <c r="U323" s="19" t="s">
        <v>192</v>
      </c>
      <c r="V323" s="19" t="s">
        <v>76</v>
      </c>
      <c r="W323" s="19" t="s">
        <v>77</v>
      </c>
      <c r="X323" s="19"/>
      <c r="Y323" s="19"/>
      <c r="Z323" s="19"/>
      <c r="AA323" s="19">
        <v>0</v>
      </c>
      <c r="AB323" s="19"/>
      <c r="AC323" s="19" t="s">
        <v>392</v>
      </c>
      <c r="AD323" s="19"/>
      <c r="AE323" s="19"/>
      <c r="AF323" s="19"/>
    </row>
    <row r="324" spans="1:34">
      <c r="A324" s="19">
        <v>315</v>
      </c>
      <c r="B324" s="19" t="s">
        <v>1415</v>
      </c>
      <c r="C324" s="19" t="s">
        <v>1647</v>
      </c>
      <c r="D324" s="19" t="str">
        <f>HYPERLINK("http://www.henontech.com/fieldsafety/harzard/harzard_show.php?rid=4290&amp;url=harzardrecs.php","防爆弯头破裂")</f>
        <v>防爆弯头破裂</v>
      </c>
      <c r="E324" s="19" t="s">
        <v>1648</v>
      </c>
      <c r="F324" s="24" t="s">
        <v>387</v>
      </c>
      <c r="G324" s="21" t="s">
        <v>43</v>
      </c>
      <c r="H324" s="19" t="s">
        <v>44</v>
      </c>
      <c r="I324" s="19"/>
      <c r="J324" s="19" t="s">
        <v>68</v>
      </c>
      <c r="K324" s="19"/>
      <c r="L324" s="19"/>
      <c r="M324" s="19" t="s">
        <v>70</v>
      </c>
      <c r="N324" s="19" t="s">
        <v>1644</v>
      </c>
      <c r="O324" s="19"/>
      <c r="P324" s="19"/>
      <c r="Q324" s="19"/>
      <c r="R324" s="19" t="s">
        <v>1649</v>
      </c>
      <c r="S324" s="19" t="s">
        <v>1233</v>
      </c>
      <c r="T324" s="19" t="s">
        <v>100</v>
      </c>
      <c r="U324" s="19" t="s">
        <v>192</v>
      </c>
      <c r="V324" s="19" t="s">
        <v>76</v>
      </c>
      <c r="W324" s="19" t="s">
        <v>77</v>
      </c>
      <c r="X324" s="19"/>
      <c r="Y324" s="19"/>
      <c r="Z324" s="19"/>
      <c r="AA324" s="19">
        <v>0</v>
      </c>
      <c r="AB324" s="19"/>
      <c r="AC324" s="19" t="s">
        <v>392</v>
      </c>
      <c r="AD324" s="19"/>
      <c r="AE324" s="19"/>
      <c r="AF324" s="19"/>
    </row>
    <row r="325" spans="1:34">
      <c r="A325" s="19">
        <v>316</v>
      </c>
      <c r="B325" s="19" t="s">
        <v>1415</v>
      </c>
      <c r="C325" s="19" t="s">
        <v>1647</v>
      </c>
      <c r="D325" s="19" t="str">
        <f>HYPERLINK("http://www.henontech.com/fieldsafety/harzard/harzard_show.php?rid=4291&amp;url=harzardrecs.php","西硫铵测点迁移到新dcs控制柜")</f>
        <v>西硫铵测点迁移到新dcs控制柜</v>
      </c>
      <c r="E325" s="19" t="s">
        <v>1650</v>
      </c>
      <c r="F325" s="24" t="s">
        <v>387</v>
      </c>
      <c r="G325" s="21" t="s">
        <v>43</v>
      </c>
      <c r="H325" s="19" t="s">
        <v>44</v>
      </c>
      <c r="I325" s="19"/>
      <c r="J325" s="19" t="s">
        <v>334</v>
      </c>
      <c r="K325" s="19"/>
      <c r="L325" s="19"/>
      <c r="M325" s="19" t="s">
        <v>70</v>
      </c>
      <c r="N325" s="19" t="s">
        <v>1644</v>
      </c>
      <c r="O325" s="19"/>
      <c r="P325" s="19"/>
      <c r="Q325" s="19"/>
      <c r="R325" s="19" t="s">
        <v>1651</v>
      </c>
      <c r="S325" s="19" t="s">
        <v>1233</v>
      </c>
      <c r="T325" s="19" t="s">
        <v>100</v>
      </c>
      <c r="U325" s="19" t="s">
        <v>192</v>
      </c>
      <c r="V325" s="19" t="s">
        <v>76</v>
      </c>
      <c r="W325" s="19" t="s">
        <v>77</v>
      </c>
      <c r="X325" s="19"/>
      <c r="Y325" s="19"/>
      <c r="Z325" s="19"/>
      <c r="AA325" s="19">
        <v>0</v>
      </c>
      <c r="AB325" s="19"/>
      <c r="AC325" s="19" t="s">
        <v>392</v>
      </c>
      <c r="AD325" s="19"/>
      <c r="AE325" s="19"/>
      <c r="AF325" s="19"/>
    </row>
    <row r="326" spans="1:34" customHeight="1" ht="42">
      <c r="A326" s="19">
        <v>317</v>
      </c>
      <c r="B326" s="19" t="s">
        <v>1652</v>
      </c>
      <c r="C326" s="19" t="s">
        <v>1653</v>
      </c>
      <c r="D326" s="19" t="str">
        <f>HYPERLINK("http://www.henontech.com/fieldsafety/harzard/harzard_show.php?rid=4390&amp;url=harzardrecs.php","5.5米干熄车配电室顶部平台腐蚀严重，下雨时漏水导致电器设备连电损坏，维修6个小时，影响干熄焦发电造成财产损失。")</f>
        <v>5.5米干熄车配电室顶部平台腐蚀严重，下雨时漏水导致电器设备连电损坏，维修6个小时，影响干熄焦发电造成财产损失。</v>
      </c>
      <c r="E326" s="19" t="s">
        <v>1654</v>
      </c>
      <c r="F326" s="20" t="s">
        <v>42</v>
      </c>
      <c r="G326" s="21" t="s">
        <v>43</v>
      </c>
      <c r="H326" s="19" t="s">
        <v>44</v>
      </c>
      <c r="I326" s="19" t="s">
        <v>67</v>
      </c>
      <c r="J326" s="19" t="s">
        <v>68</v>
      </c>
      <c r="K326" s="19" t="s">
        <v>209</v>
      </c>
      <c r="L326" s="19" t="s">
        <v>48</v>
      </c>
      <c r="M326" s="19" t="s">
        <v>117</v>
      </c>
      <c r="N326" s="19" t="s">
        <v>1655</v>
      </c>
      <c r="O326" s="19" t="s">
        <v>117</v>
      </c>
      <c r="P326" s="19" t="s">
        <v>224</v>
      </c>
      <c r="Q326" s="19" t="s">
        <v>1656</v>
      </c>
      <c r="R326" s="19" t="s">
        <v>1238</v>
      </c>
      <c r="S326" s="19"/>
      <c r="T326" s="19" t="s">
        <v>100</v>
      </c>
      <c r="U326" s="19" t="s">
        <v>192</v>
      </c>
      <c r="V326" s="19" t="s">
        <v>271</v>
      </c>
      <c r="W326" s="19" t="s">
        <v>77</v>
      </c>
      <c r="X326" s="19" t="s">
        <v>58</v>
      </c>
      <c r="Y326" s="19"/>
      <c r="Z326" s="19" t="s">
        <v>1657</v>
      </c>
      <c r="AA326" s="19">
        <v>2</v>
      </c>
      <c r="AB326" s="19">
        <v>2</v>
      </c>
      <c r="AC326" s="19" t="s">
        <v>60</v>
      </c>
      <c r="AD326" s="19" t="s">
        <v>224</v>
      </c>
      <c r="AE326" s="19" t="s">
        <v>1202</v>
      </c>
      <c r="AF326" s="19"/>
    </row>
    <row r="327" spans="1:34" customHeight="1" ht="42">
      <c r="A327" s="19">
        <v>318</v>
      </c>
      <c r="B327" s="19" t="s">
        <v>1658</v>
      </c>
      <c r="C327" s="19" t="s">
        <v>1619</v>
      </c>
      <c r="D327" s="19" t="str">
        <f>HYPERLINK("http://www.henontech.com/fieldsafety/harzard/harzard_show.php?rid=4411&amp;url=harzardrecs.php","职工在清理上升管时，因小平台倾斜导致职工站立不稳，从上升管小平台跌落到炉顶面区域，造成左小腿骨折，送医院救治六个月全愈。")</f>
        <v>职工在清理上升管时，因小平台倾斜导致职工站立不稳，从上升管小平台跌落到炉顶面区域，造成左小腿骨折，送医院救治六个月全愈。</v>
      </c>
      <c r="E327" s="19" t="s">
        <v>1659</v>
      </c>
      <c r="F327" s="20" t="s">
        <v>42</v>
      </c>
      <c r="G327" s="21" t="s">
        <v>43</v>
      </c>
      <c r="H327" s="19" t="s">
        <v>44</v>
      </c>
      <c r="I327" s="19" t="s">
        <v>83</v>
      </c>
      <c r="J327" s="19" t="s">
        <v>46</v>
      </c>
      <c r="K327" s="19" t="s">
        <v>166</v>
      </c>
      <c r="L327" s="19"/>
      <c r="M327" s="19" t="s">
        <v>117</v>
      </c>
      <c r="N327" s="19" t="s">
        <v>1453</v>
      </c>
      <c r="O327" s="19" t="s">
        <v>117</v>
      </c>
      <c r="P327" s="19" t="s">
        <v>224</v>
      </c>
      <c r="Q327" s="19" t="s">
        <v>1656</v>
      </c>
      <c r="R327" s="19" t="s">
        <v>1660</v>
      </c>
      <c r="S327" s="19"/>
      <c r="T327" s="19" t="s">
        <v>54</v>
      </c>
      <c r="U327" s="19" t="s">
        <v>55</v>
      </c>
      <c r="V327" s="19" t="s">
        <v>56</v>
      </c>
      <c r="W327" s="19" t="s">
        <v>57</v>
      </c>
      <c r="X327" s="19" t="s">
        <v>123</v>
      </c>
      <c r="Y327" s="19"/>
      <c r="Z327" s="19" t="s">
        <v>1661</v>
      </c>
      <c r="AA327" s="19">
        <v>2</v>
      </c>
      <c r="AB327" s="19">
        <v>2</v>
      </c>
      <c r="AC327" s="19" t="s">
        <v>60</v>
      </c>
      <c r="AD327" s="19" t="s">
        <v>224</v>
      </c>
      <c r="AE327" s="19" t="s">
        <v>1202</v>
      </c>
      <c r="AF327" s="19"/>
    </row>
    <row r="328" spans="1:34">
      <c r="A328" s="19">
        <v>319</v>
      </c>
      <c r="B328" s="19" t="s">
        <v>1658</v>
      </c>
      <c r="C328" s="19" t="s">
        <v>549</v>
      </c>
      <c r="D328" s="19" t="str">
        <f>HYPERLINK("http://www.henontech.com/fieldsafety/harzard/harzard_show.php?rid=4433&amp;url=harzardrecs.php","南风机房西侧电缆架上有一块废弃不用的铝皮，一旦风大刮落划中巡检人员脸部，造成巡检人员脸部划伤，上医务室消毒上药后在家休养2天。损工2天。")</f>
        <v>南风机房西侧电缆架上有一块废弃不用的铝皮，一旦风大刮落划中巡检人员脸部，造成巡检人员脸部划伤，上医务室消毒上药后在家休养2天。损工2天。</v>
      </c>
      <c r="E328" s="19" t="s">
        <v>1662</v>
      </c>
      <c r="F328" s="20" t="s">
        <v>42</v>
      </c>
      <c r="G328" s="21" t="s">
        <v>43</v>
      </c>
      <c r="H328" s="19" t="s">
        <v>44</v>
      </c>
      <c r="I328" s="19" t="s">
        <v>45</v>
      </c>
      <c r="J328" s="19" t="s">
        <v>46</v>
      </c>
      <c r="K328" s="19" t="s">
        <v>69</v>
      </c>
      <c r="L328" s="19" t="s">
        <v>48</v>
      </c>
      <c r="M328" s="19" t="s">
        <v>70</v>
      </c>
      <c r="N328" s="19" t="s">
        <v>1663</v>
      </c>
      <c r="O328" s="19" t="s">
        <v>70</v>
      </c>
      <c r="P328" s="19" t="s">
        <v>72</v>
      </c>
      <c r="Q328" s="19" t="s">
        <v>1664</v>
      </c>
      <c r="R328" s="19" t="s">
        <v>1665</v>
      </c>
      <c r="S328" s="19"/>
      <c r="T328" s="19" t="s">
        <v>54</v>
      </c>
      <c r="U328" s="19" t="s">
        <v>55</v>
      </c>
      <c r="V328" s="19" t="s">
        <v>56</v>
      </c>
      <c r="W328" s="19" t="s">
        <v>57</v>
      </c>
      <c r="X328" s="19"/>
      <c r="Y328" s="19"/>
      <c r="Z328" s="19" t="s">
        <v>1666</v>
      </c>
      <c r="AA328" s="19">
        <v>1</v>
      </c>
      <c r="AB328" s="19">
        <v>1</v>
      </c>
      <c r="AC328" s="19" t="s">
        <v>60</v>
      </c>
      <c r="AD328" s="19" t="s">
        <v>72</v>
      </c>
      <c r="AE328" s="19" t="s">
        <v>1080</v>
      </c>
      <c r="AF328" s="19"/>
    </row>
    <row r="329" spans="1:34" customHeight="1" ht="42">
      <c r="A329" s="19">
        <v>320</v>
      </c>
      <c r="B329" s="19" t="s">
        <v>1658</v>
      </c>
      <c r="C329" s="19" t="s">
        <v>1667</v>
      </c>
      <c r="D329" s="19" t="str">
        <f>HYPERLINK("http://www.henontech.com/fieldsafety/harzard/harzard_show.php?rid=4434&amp;url=harzardrecs.php","5.5米捣鼓锤保险销开焊后未及时维修更换，起不到安全保险作用，因夹紧松导致捣鼓杆下滑将保险销打断坠落高15米的地面，砸在下面正在清扫卫生的操作工身上当场死亡。")</f>
        <v>5.5米捣鼓锤保险销开焊后未及时维修更换，起不到安全保险作用，因夹紧松导致捣鼓杆下滑将保险销打断坠落高15米的地面，砸在下面正在清扫卫生的操作工身上当场死亡。</v>
      </c>
      <c r="E329" s="19" t="s">
        <v>1668</v>
      </c>
      <c r="F329" s="20" t="s">
        <v>42</v>
      </c>
      <c r="G329" s="22" t="s">
        <v>66</v>
      </c>
      <c r="H329" s="19" t="s">
        <v>44</v>
      </c>
      <c r="I329" s="19" t="s">
        <v>83</v>
      </c>
      <c r="J329" s="19" t="s">
        <v>46</v>
      </c>
      <c r="K329" s="19" t="s">
        <v>166</v>
      </c>
      <c r="L329" s="19" t="s">
        <v>48</v>
      </c>
      <c r="M329" s="19" t="s">
        <v>117</v>
      </c>
      <c r="N329" s="19" t="s">
        <v>1669</v>
      </c>
      <c r="O329" s="19" t="s">
        <v>117</v>
      </c>
      <c r="P329" s="19" t="s">
        <v>224</v>
      </c>
      <c r="Q329" s="19" t="s">
        <v>1241</v>
      </c>
      <c r="R329" s="19" t="s">
        <v>1670</v>
      </c>
      <c r="S329" s="19"/>
      <c r="T329" s="19" t="s">
        <v>54</v>
      </c>
      <c r="U329" s="19" t="s">
        <v>121</v>
      </c>
      <c r="V329" s="19" t="s">
        <v>56</v>
      </c>
      <c r="W329" s="19" t="s">
        <v>122</v>
      </c>
      <c r="X329" s="19" t="s">
        <v>123</v>
      </c>
      <c r="Y329" s="19"/>
      <c r="Z329" s="19" t="s">
        <v>1671</v>
      </c>
      <c r="AA329" s="19">
        <v>2</v>
      </c>
      <c r="AB329" s="19">
        <v>2</v>
      </c>
      <c r="AC329" s="19" t="s">
        <v>60</v>
      </c>
      <c r="AD329" s="19" t="s">
        <v>224</v>
      </c>
      <c r="AE329" s="19" t="s">
        <v>1074</v>
      </c>
      <c r="AF329" s="19"/>
    </row>
    <row r="330" spans="1:34" customHeight="1" ht="42">
      <c r="A330" s="19">
        <v>321</v>
      </c>
      <c r="B330" s="19" t="s">
        <v>1658</v>
      </c>
      <c r="C330" s="19" t="s">
        <v>1238</v>
      </c>
      <c r="D330" s="19" t="str">
        <f>HYPERLINK("http://www.henontech.com/fieldsafety/harzard/harzard_show.php?rid=4435&amp;url=harzardrecs.php","维修工检修熄焦车斗，由于爬梯变形而且没有扶手，手未抓牢，跌落至3米高的地面，腰部跌落至道轨上，及时送医治疗，确诊为腰椎3节骨折，住院治疗一个月，回家休养六个月复工。")</f>
        <v>维修工检修熄焦车斗，由于爬梯变形而且没有扶手，手未抓牢，跌落至3米高的地面，腰部跌落至道轨上，及时送医治疗，确诊为腰椎3节骨折，住院治疗一个月，回家休养六个月复工。</v>
      </c>
      <c r="E330" s="19" t="s">
        <v>1672</v>
      </c>
      <c r="F330" s="20" t="s">
        <v>42</v>
      </c>
      <c r="G330" s="21" t="s">
        <v>43</v>
      </c>
      <c r="H330" s="19" t="s">
        <v>44</v>
      </c>
      <c r="I330" s="19" t="s">
        <v>67</v>
      </c>
      <c r="J330" s="19" t="s">
        <v>46</v>
      </c>
      <c r="K330" s="19" t="s">
        <v>166</v>
      </c>
      <c r="L330" s="19" t="s">
        <v>48</v>
      </c>
      <c r="M330" s="19" t="s">
        <v>117</v>
      </c>
      <c r="N330" s="19" t="s">
        <v>1444</v>
      </c>
      <c r="O330" s="19" t="s">
        <v>117</v>
      </c>
      <c r="P330" s="19" t="s">
        <v>224</v>
      </c>
      <c r="Q330" s="19" t="s">
        <v>1241</v>
      </c>
      <c r="R330" s="19" t="s">
        <v>1445</v>
      </c>
      <c r="S330" s="19"/>
      <c r="T330" s="19" t="s">
        <v>54</v>
      </c>
      <c r="U330" s="19" t="s">
        <v>55</v>
      </c>
      <c r="V330" s="19" t="s">
        <v>56</v>
      </c>
      <c r="W330" s="19" t="s">
        <v>57</v>
      </c>
      <c r="X330" s="19" t="s">
        <v>123</v>
      </c>
      <c r="Y330" s="19"/>
      <c r="Z330" s="19" t="s">
        <v>1673</v>
      </c>
      <c r="AA330" s="19">
        <v>2</v>
      </c>
      <c r="AB330" s="19">
        <v>2</v>
      </c>
      <c r="AC330" s="19" t="s">
        <v>60</v>
      </c>
      <c r="AD330" s="19" t="s">
        <v>224</v>
      </c>
      <c r="AE330" s="19" t="s">
        <v>1074</v>
      </c>
      <c r="AF330" s="19"/>
    </row>
    <row r="331" spans="1:34" customHeight="1" ht="42">
      <c r="A331" s="19">
        <v>322</v>
      </c>
      <c r="B331" s="19" t="s">
        <v>1641</v>
      </c>
      <c r="C331" s="19" t="s">
        <v>485</v>
      </c>
      <c r="D331" s="19" t="str">
        <f>HYPERLINK("http://www.henontech.com/fieldsafety/harzard/harzard_show.php?rid=4481&amp;url=harzardrecs.php","5.5米焦炉导烟车道轨上有铁器杂物，导烟车通过时，若司机未及时发现，将造成导烟车脱轨事故，影响出焦3小时，经济损失11万元。")</f>
        <v>5.5米焦炉导烟车道轨上有铁器杂物，导烟车通过时，若司机未及时发现，将造成导烟车脱轨事故，影响出焦3小时，经济损失11万元。</v>
      </c>
      <c r="E331" s="19" t="s">
        <v>1674</v>
      </c>
      <c r="F331" s="20" t="s">
        <v>42</v>
      </c>
      <c r="G331" s="22" t="s">
        <v>66</v>
      </c>
      <c r="H331" s="19" t="s">
        <v>44</v>
      </c>
      <c r="I331" s="19" t="s">
        <v>388</v>
      </c>
      <c r="J331" s="19" t="s">
        <v>46</v>
      </c>
      <c r="K331" s="19"/>
      <c r="L331" s="19"/>
      <c r="M331" s="19" t="s">
        <v>117</v>
      </c>
      <c r="N331" s="19" t="s">
        <v>1675</v>
      </c>
      <c r="O331" s="19" t="s">
        <v>117</v>
      </c>
      <c r="P331" s="19" t="s">
        <v>287</v>
      </c>
      <c r="Q331" s="19" t="s">
        <v>1656</v>
      </c>
      <c r="R331" s="19" t="s">
        <v>1236</v>
      </c>
      <c r="S331" s="19"/>
      <c r="T331" s="19" t="s">
        <v>100</v>
      </c>
      <c r="U331" s="19" t="s">
        <v>55</v>
      </c>
      <c r="V331" s="19" t="s">
        <v>56</v>
      </c>
      <c r="W331" s="19" t="s">
        <v>57</v>
      </c>
      <c r="X331" s="19" t="s">
        <v>123</v>
      </c>
      <c r="Y331" s="19"/>
      <c r="Z331" s="19" t="s">
        <v>1676</v>
      </c>
      <c r="AA331" s="19">
        <v>2</v>
      </c>
      <c r="AB331" s="19">
        <v>2</v>
      </c>
      <c r="AC331" s="19" t="s">
        <v>60</v>
      </c>
      <c r="AD331" s="19" t="s">
        <v>287</v>
      </c>
      <c r="AE331" s="19" t="s">
        <v>1074</v>
      </c>
      <c r="AF331" s="19"/>
    </row>
    <row r="332" spans="1:34" customHeight="1" ht="42">
      <c r="A332" s="19">
        <v>323</v>
      </c>
      <c r="B332" s="19" t="s">
        <v>1677</v>
      </c>
      <c r="C332" s="19" t="s">
        <v>1667</v>
      </c>
      <c r="D332" s="19" t="str">
        <f>HYPERLINK("http://www.henontech.com/fieldsafety/harzard/harzard_show.php?rid=4491&amp;url=harzardrecs.php","5.5米焦炉捣固机南门维修材料随意摆放，假如夜班一名巡检员从此处走过被绊倒。手臂触地造成骨折。")</f>
        <v>5.5米焦炉捣固机南门维修材料随意摆放，假如夜班一名巡检员从此处走过被绊倒。手臂触地造成骨折。</v>
      </c>
      <c r="E332" s="19" t="s">
        <v>1678</v>
      </c>
      <c r="F332" s="20" t="s">
        <v>42</v>
      </c>
      <c r="G332" s="21" t="s">
        <v>43</v>
      </c>
      <c r="H332" s="19" t="s">
        <v>44</v>
      </c>
      <c r="I332" s="19" t="s">
        <v>83</v>
      </c>
      <c r="J332" s="19" t="s">
        <v>46</v>
      </c>
      <c r="K332" s="19" t="s">
        <v>69</v>
      </c>
      <c r="L332" s="19" t="s">
        <v>48</v>
      </c>
      <c r="M332" s="19" t="s">
        <v>117</v>
      </c>
      <c r="N332" s="19" t="s">
        <v>1679</v>
      </c>
      <c r="O332" s="19" t="s">
        <v>117</v>
      </c>
      <c r="P332" s="19" t="s">
        <v>224</v>
      </c>
      <c r="Q332" s="19" t="s">
        <v>1656</v>
      </c>
      <c r="R332" s="19" t="s">
        <v>1680</v>
      </c>
      <c r="S332" s="19"/>
      <c r="T332" s="19" t="s">
        <v>54</v>
      </c>
      <c r="U332" s="19" t="s">
        <v>55</v>
      </c>
      <c r="V332" s="19" t="s">
        <v>56</v>
      </c>
      <c r="W332" s="19" t="s">
        <v>57</v>
      </c>
      <c r="X332" s="19" t="s">
        <v>123</v>
      </c>
      <c r="Y332" s="19"/>
      <c r="Z332" s="19" t="s">
        <v>1681</v>
      </c>
      <c r="AA332" s="19">
        <v>2</v>
      </c>
      <c r="AB332" s="19">
        <v>2</v>
      </c>
      <c r="AC332" s="19" t="s">
        <v>60</v>
      </c>
      <c r="AD332" s="19" t="s">
        <v>224</v>
      </c>
      <c r="AE332" s="19" t="s">
        <v>1074</v>
      </c>
      <c r="AF332" s="19"/>
    </row>
    <row r="333" spans="1:34">
      <c r="A333" s="19">
        <v>324</v>
      </c>
      <c r="B333" s="19" t="s">
        <v>1636</v>
      </c>
      <c r="C333" s="19" t="s">
        <v>1653</v>
      </c>
      <c r="D333" s="19" t="str">
        <f>HYPERLINK("http://www.henontech.com/fieldsafety/harzard/harzard_show.php?rid=4513&amp;url=harzardrecs.php","熄焦车滑线无防护棚，下雨时拦焦平台积水汇成一条线经过滑线往下流，导致滑线漏电。一名外来施工人员经过时发生触电事故，立即送往医院经医生抢救无效死亡。")</f>
        <v>熄焦车滑线无防护棚，下雨时拦焦平台积水汇成一条线经过滑线往下流，导致滑线漏电。一名外来施工人员经过时发生触电事故，立即送往医院经医生抢救无效死亡。</v>
      </c>
      <c r="E333" s="19" t="s">
        <v>1682</v>
      </c>
      <c r="F333" s="20" t="s">
        <v>42</v>
      </c>
      <c r="G333" s="21" t="s">
        <v>43</v>
      </c>
      <c r="H333" s="19" t="s">
        <v>44</v>
      </c>
      <c r="I333" s="19" t="s">
        <v>67</v>
      </c>
      <c r="J333" s="19" t="s">
        <v>68</v>
      </c>
      <c r="K333" s="19" t="s">
        <v>209</v>
      </c>
      <c r="L333" s="19" t="s">
        <v>48</v>
      </c>
      <c r="M333" s="19" t="s">
        <v>117</v>
      </c>
      <c r="N333" s="19" t="s">
        <v>1240</v>
      </c>
      <c r="O333" s="19" t="s">
        <v>117</v>
      </c>
      <c r="P333" s="19" t="s">
        <v>287</v>
      </c>
      <c r="Q333" s="19" t="s">
        <v>1683</v>
      </c>
      <c r="R333" s="19" t="s">
        <v>1684</v>
      </c>
      <c r="S333" s="19" t="s">
        <v>1685</v>
      </c>
      <c r="T333" s="19" t="s">
        <v>54</v>
      </c>
      <c r="U333" s="19" t="s">
        <v>121</v>
      </c>
      <c r="V333" s="19" t="s">
        <v>101</v>
      </c>
      <c r="W333" s="19" t="s">
        <v>57</v>
      </c>
      <c r="X333" s="19" t="s">
        <v>58</v>
      </c>
      <c r="Y333" s="19"/>
      <c r="Z333" s="19" t="s">
        <v>1686</v>
      </c>
      <c r="AA333" s="19">
        <v>1</v>
      </c>
      <c r="AB333" s="19">
        <v>1</v>
      </c>
      <c r="AC333" s="19" t="s">
        <v>60</v>
      </c>
      <c r="AD333" s="19" t="s">
        <v>287</v>
      </c>
      <c r="AE333" s="19" t="s">
        <v>1074</v>
      </c>
      <c r="AF333" s="19"/>
    </row>
    <row r="334" spans="1:34" customHeight="1" ht="42">
      <c r="A334" s="19">
        <v>325</v>
      </c>
      <c r="B334" s="19" t="s">
        <v>1636</v>
      </c>
      <c r="C334" s="19" t="s">
        <v>1687</v>
      </c>
      <c r="D334" s="19" t="str">
        <f>HYPERLINK("http://www.henontech.com/fieldsafety/harzard/harzard_show.php?rid=4578&amp;url=harzardrecs.php","推焦化除尘罩南侧活动门上部一端翘起，车辆行驶中活动门脱落，砸中一名出炉操作工肩部受伤，送医院诊断为肩部骨折，住院1个月，在家休养2个月，复工")</f>
        <v>推焦化除尘罩南侧活动门上部一端翘起，车辆行驶中活动门脱落，砸中一名出炉操作工肩部受伤，送医院诊断为肩部骨折，住院1个月，在家休养2个月，复工</v>
      </c>
      <c r="E334" s="19" t="s">
        <v>1688</v>
      </c>
      <c r="F334" s="20" t="s">
        <v>42</v>
      </c>
      <c r="G334" s="21" t="s">
        <v>43</v>
      </c>
      <c r="H334" s="19" t="s">
        <v>44</v>
      </c>
      <c r="I334" s="19" t="s">
        <v>437</v>
      </c>
      <c r="J334" s="19" t="s">
        <v>46</v>
      </c>
      <c r="K334" s="19" t="s">
        <v>47</v>
      </c>
      <c r="L334" s="19" t="s">
        <v>48</v>
      </c>
      <c r="M334" s="19" t="s">
        <v>117</v>
      </c>
      <c r="N334" s="19" t="s">
        <v>1689</v>
      </c>
      <c r="O334" s="19" t="s">
        <v>117</v>
      </c>
      <c r="P334" s="19" t="s">
        <v>224</v>
      </c>
      <c r="Q334" s="19" t="s">
        <v>1241</v>
      </c>
      <c r="R334" s="19" t="s">
        <v>1502</v>
      </c>
      <c r="S334" s="19"/>
      <c r="T334" s="19" t="s">
        <v>54</v>
      </c>
      <c r="U334" s="19" t="s">
        <v>55</v>
      </c>
      <c r="V334" s="19" t="s">
        <v>56</v>
      </c>
      <c r="W334" s="19" t="s">
        <v>57</v>
      </c>
      <c r="X334" s="19" t="s">
        <v>123</v>
      </c>
      <c r="Y334" s="19"/>
      <c r="Z334" s="19" t="s">
        <v>1690</v>
      </c>
      <c r="AA334" s="19">
        <v>2</v>
      </c>
      <c r="AB334" s="19">
        <v>2</v>
      </c>
      <c r="AC334" s="19" t="s">
        <v>60</v>
      </c>
      <c r="AD334" s="19" t="s">
        <v>224</v>
      </c>
      <c r="AE334" s="19" t="s">
        <v>1074</v>
      </c>
      <c r="AF334" s="19"/>
    </row>
    <row r="335" spans="1:34">
      <c r="A335" s="19">
        <v>326</v>
      </c>
      <c r="B335" s="19" t="s">
        <v>1691</v>
      </c>
      <c r="C335" s="19" t="s">
        <v>1007</v>
      </c>
      <c r="D335" s="19" t="str">
        <f>HYPERLINK("http://www.henontech.com/fieldsafety/harzard/harzard_show.php?rid=4664&amp;url=harzardrecs.php","一名职工在南循环水电解水处理器巡检时，由于电解水内部电极腐蚀断裂造成电极正极与外壳接触造成漏电，该职工用手触摸罐体时造成触电后摔倒使手掌部有轻微磕碰，后经医务室简单处理后继续上班")</f>
        <v>一名职工在南循环水电解水处理器巡检时，由于电解水内部电极腐蚀断裂造成电极正极与外壳接触造成漏电，该职工用手触摸罐体时造成触电后摔倒使手掌部有轻微磕碰，后经医务室简单处理后继续上班</v>
      </c>
      <c r="E335" s="19" t="s">
        <v>1692</v>
      </c>
      <c r="F335" s="20" t="s">
        <v>42</v>
      </c>
      <c r="G335" s="21" t="s">
        <v>43</v>
      </c>
      <c r="H335" s="19" t="s">
        <v>44</v>
      </c>
      <c r="I335" s="19" t="s">
        <v>45</v>
      </c>
      <c r="J335" s="19" t="s">
        <v>46</v>
      </c>
      <c r="K335" s="19" t="s">
        <v>145</v>
      </c>
      <c r="L335" s="19"/>
      <c r="M335" s="19" t="s">
        <v>70</v>
      </c>
      <c r="N335" s="19" t="s">
        <v>454</v>
      </c>
      <c r="O335" s="19" t="s">
        <v>70</v>
      </c>
      <c r="P335" s="19" t="s">
        <v>72</v>
      </c>
      <c r="Q335" s="19" t="s">
        <v>1559</v>
      </c>
      <c r="R335" s="19" t="s">
        <v>1693</v>
      </c>
      <c r="S335" s="19"/>
      <c r="T335" s="19" t="s">
        <v>54</v>
      </c>
      <c r="U335" s="19" t="s">
        <v>75</v>
      </c>
      <c r="V335" s="19" t="s">
        <v>101</v>
      </c>
      <c r="W335" s="19" t="s">
        <v>77</v>
      </c>
      <c r="X335" s="19"/>
      <c r="Y335" s="19"/>
      <c r="Z335" s="19" t="s">
        <v>1694</v>
      </c>
      <c r="AA335" s="19">
        <v>1</v>
      </c>
      <c r="AB335" s="19">
        <v>1</v>
      </c>
      <c r="AC335" s="19" t="s">
        <v>60</v>
      </c>
      <c r="AD335" s="19" t="s">
        <v>72</v>
      </c>
      <c r="AE335" s="19" t="s">
        <v>1202</v>
      </c>
      <c r="AF335" s="19"/>
    </row>
    <row r="336" spans="1:34">
      <c r="A336" s="19">
        <v>327</v>
      </c>
      <c r="B336" s="19" t="s">
        <v>1695</v>
      </c>
      <c r="C336" s="19" t="s">
        <v>1262</v>
      </c>
      <c r="D336" s="19" t="str">
        <f>HYPERLINK("http://www.henontech.com/fieldsafety/harzard/harzard_show.php?rid=4793&amp;url=harzardrecs.php","粗苯东侧立柱消防报警按钮盒脱落，当大雨天气，雨水进入报警按钮盒，造成报警按钮盒内线路短路，造成误报警。")</f>
        <v>粗苯东侧立柱消防报警按钮盒脱落，当大雨天气，雨水进入报警按钮盒，造成报警按钮盒内线路短路，造成误报警。</v>
      </c>
      <c r="E336" s="19" t="s">
        <v>1696</v>
      </c>
      <c r="F336" s="20" t="s">
        <v>42</v>
      </c>
      <c r="G336" s="21" t="s">
        <v>43</v>
      </c>
      <c r="H336" s="19" t="s">
        <v>44</v>
      </c>
      <c r="I336" s="19" t="s">
        <v>45</v>
      </c>
      <c r="J336" s="19" t="s">
        <v>46</v>
      </c>
      <c r="K336" s="19" t="s">
        <v>69</v>
      </c>
      <c r="L336" s="19" t="s">
        <v>48</v>
      </c>
      <c r="M336" s="19" t="s">
        <v>70</v>
      </c>
      <c r="N336" s="19" t="s">
        <v>71</v>
      </c>
      <c r="O336" s="19" t="s">
        <v>70</v>
      </c>
      <c r="P336" s="19" t="s">
        <v>72</v>
      </c>
      <c r="Q336" s="19" t="s">
        <v>1697</v>
      </c>
      <c r="R336" s="19" t="s">
        <v>1698</v>
      </c>
      <c r="S336" s="19"/>
      <c r="T336" s="19" t="s">
        <v>985</v>
      </c>
      <c r="U336" s="19" t="s">
        <v>192</v>
      </c>
      <c r="V336" s="19" t="s">
        <v>101</v>
      </c>
      <c r="W336" s="19" t="s">
        <v>77</v>
      </c>
      <c r="X336" s="19"/>
      <c r="Y336" s="19"/>
      <c r="Z336" s="19" t="s">
        <v>1699</v>
      </c>
      <c r="AA336" s="19">
        <v>1</v>
      </c>
      <c r="AB336" s="19">
        <v>1</v>
      </c>
      <c r="AC336" s="19" t="s">
        <v>60</v>
      </c>
      <c r="AD336" s="19" t="s">
        <v>72</v>
      </c>
      <c r="AE336" s="19" t="s">
        <v>1202</v>
      </c>
      <c r="AF336" s="19"/>
    </row>
    <row r="337" spans="1:34">
      <c r="A337" s="19">
        <v>328</v>
      </c>
      <c r="B337" s="19" t="s">
        <v>1695</v>
      </c>
      <c r="C337" s="19" t="s">
        <v>1700</v>
      </c>
      <c r="D337" s="19" t="str">
        <f>HYPERLINK("http://www.henontech.com/fieldsafety/harzard/harzard_show.php?rid=4800&amp;url=harzardrecs.php","两盐原料罐平台腐蚀严重，如果一操作工巡检时左脚不慎踩空，划伤左小腿，到医院简单包扎后继续上班。")</f>
        <v>两盐原料罐平台腐蚀严重，如果一操作工巡检时左脚不慎踩空，划伤左小腿，到医院简单包扎后继续上班。</v>
      </c>
      <c r="E337" s="19" t="s">
        <v>1701</v>
      </c>
      <c r="F337" s="20" t="s">
        <v>42</v>
      </c>
      <c r="G337" s="21" t="s">
        <v>43</v>
      </c>
      <c r="H337" s="19" t="s">
        <v>44</v>
      </c>
      <c r="I337" s="19" t="s">
        <v>45</v>
      </c>
      <c r="J337" s="19" t="s">
        <v>46</v>
      </c>
      <c r="K337" s="19" t="s">
        <v>166</v>
      </c>
      <c r="L337" s="19" t="s">
        <v>48</v>
      </c>
      <c r="M337" s="19" t="s">
        <v>70</v>
      </c>
      <c r="N337" s="19" t="s">
        <v>395</v>
      </c>
      <c r="O337" s="19" t="s">
        <v>70</v>
      </c>
      <c r="P337" s="19" t="s">
        <v>72</v>
      </c>
      <c r="Q337" s="19" t="s">
        <v>1697</v>
      </c>
      <c r="R337" s="19" t="s">
        <v>1702</v>
      </c>
      <c r="S337" s="19"/>
      <c r="T337" s="19" t="s">
        <v>54</v>
      </c>
      <c r="U337" s="19" t="s">
        <v>75</v>
      </c>
      <c r="V337" s="19" t="s">
        <v>101</v>
      </c>
      <c r="W337" s="19" t="s">
        <v>77</v>
      </c>
      <c r="X337" s="19"/>
      <c r="Y337" s="19"/>
      <c r="Z337" s="19" t="s">
        <v>1703</v>
      </c>
      <c r="AA337" s="19">
        <v>1</v>
      </c>
      <c r="AB337" s="19">
        <v>1</v>
      </c>
      <c r="AC337" s="19" t="s">
        <v>60</v>
      </c>
      <c r="AD337" s="19" t="s">
        <v>72</v>
      </c>
      <c r="AE337" s="19" t="s">
        <v>1202</v>
      </c>
      <c r="AF337" s="19"/>
    </row>
    <row r="338" spans="1:34" customHeight="1" ht="42">
      <c r="A338" s="19">
        <v>329</v>
      </c>
      <c r="B338" s="19" t="s">
        <v>1704</v>
      </c>
      <c r="C338" s="19" t="s">
        <v>1238</v>
      </c>
      <c r="D338" s="19" t="str">
        <f>HYPERLINK("http://www.henontech.com/fieldsafety/harzard/harzard_show.php?rid=4887&amp;url=harzardrecs.php","干熄罐边缘护板开焊变形，接焦旋转时，将拦焦车除尘导烟罩刮坏，造成环保事故！")</f>
        <v>干熄罐边缘护板开焊变形，接焦旋转时，将拦焦车除尘导烟罩刮坏，造成环保事故！</v>
      </c>
      <c r="E338" s="19" t="s">
        <v>1705</v>
      </c>
      <c r="F338" s="20" t="s">
        <v>42</v>
      </c>
      <c r="G338" s="21" t="s">
        <v>43</v>
      </c>
      <c r="H338" s="19" t="s">
        <v>875</v>
      </c>
      <c r="I338" s="19" t="s">
        <v>83</v>
      </c>
      <c r="J338" s="19" t="s">
        <v>1706</v>
      </c>
      <c r="K338" s="19" t="s">
        <v>69</v>
      </c>
      <c r="L338" s="19" t="s">
        <v>573</v>
      </c>
      <c r="M338" s="19" t="s">
        <v>117</v>
      </c>
      <c r="N338" s="19" t="s">
        <v>1491</v>
      </c>
      <c r="O338" s="19" t="s">
        <v>117</v>
      </c>
      <c r="P338" s="19" t="s">
        <v>224</v>
      </c>
      <c r="Q338" s="19" t="s">
        <v>1707</v>
      </c>
      <c r="R338" s="19" t="s">
        <v>1477</v>
      </c>
      <c r="S338" s="19"/>
      <c r="T338" s="19" t="s">
        <v>270</v>
      </c>
      <c r="U338" s="19" t="s">
        <v>192</v>
      </c>
      <c r="V338" s="19" t="s">
        <v>101</v>
      </c>
      <c r="W338" s="19" t="s">
        <v>77</v>
      </c>
      <c r="X338" s="19" t="s">
        <v>58</v>
      </c>
      <c r="Y338" s="19"/>
      <c r="Z338" s="19" t="s">
        <v>1708</v>
      </c>
      <c r="AA338" s="19">
        <v>2</v>
      </c>
      <c r="AB338" s="19">
        <v>2</v>
      </c>
      <c r="AC338" s="19" t="s">
        <v>60</v>
      </c>
      <c r="AD338" s="19" t="s">
        <v>224</v>
      </c>
      <c r="AE338" s="19" t="s">
        <v>1074</v>
      </c>
      <c r="AF338" s="19"/>
    </row>
    <row r="339" spans="1:34" customHeight="1" ht="42">
      <c r="A339" s="19">
        <v>330</v>
      </c>
      <c r="B339" s="19" t="s">
        <v>1704</v>
      </c>
      <c r="C339" s="19" t="s">
        <v>485</v>
      </c>
      <c r="D339" s="19" t="str">
        <f>HYPERLINK("http://www.henontech.com/fieldsafety/harzard/harzard_show.php?rid=4888&amp;url=harzardrecs.php","一处电缆接头破损，一名员工在巡检时不慎接触漏点，触电倒地昏迷不醒，送医抢救！")</f>
        <v>一处电缆接头破损，一名员工在巡检时不慎接触漏点，触电倒地昏迷不醒，送医抢救！</v>
      </c>
      <c r="E339" s="19" t="s">
        <v>1709</v>
      </c>
      <c r="F339" s="20" t="s">
        <v>42</v>
      </c>
      <c r="G339" s="23" t="s">
        <v>231</v>
      </c>
      <c r="H339" s="19" t="s">
        <v>875</v>
      </c>
      <c r="I339" s="19" t="s">
        <v>83</v>
      </c>
      <c r="J339" s="19" t="s">
        <v>202</v>
      </c>
      <c r="K339" s="19" t="s">
        <v>69</v>
      </c>
      <c r="L339" s="19" t="s">
        <v>573</v>
      </c>
      <c r="M339" s="19" t="s">
        <v>117</v>
      </c>
      <c r="N339" s="19" t="s">
        <v>602</v>
      </c>
      <c r="O339" s="19" t="s">
        <v>117</v>
      </c>
      <c r="P339" s="19" t="s">
        <v>224</v>
      </c>
      <c r="Q339" s="19" t="s">
        <v>1707</v>
      </c>
      <c r="R339" s="19" t="s">
        <v>1710</v>
      </c>
      <c r="S339" s="19"/>
      <c r="T339" s="19" t="s">
        <v>54</v>
      </c>
      <c r="U339" s="19" t="s">
        <v>121</v>
      </c>
      <c r="V339" s="19" t="s">
        <v>56</v>
      </c>
      <c r="W339" s="19" t="s">
        <v>122</v>
      </c>
      <c r="X339" s="19" t="s">
        <v>123</v>
      </c>
      <c r="Y339" s="19"/>
      <c r="Z339" s="19" t="s">
        <v>1711</v>
      </c>
      <c r="AA339" s="19">
        <v>2</v>
      </c>
      <c r="AB339" s="19">
        <v>2</v>
      </c>
      <c r="AC339" s="19" t="s">
        <v>60</v>
      </c>
      <c r="AD339" s="19" t="s">
        <v>224</v>
      </c>
      <c r="AE339" s="19" t="s">
        <v>1132</v>
      </c>
      <c r="AF339" s="19"/>
    </row>
    <row r="340" spans="1:34">
      <c r="A340" s="19">
        <v>331</v>
      </c>
      <c r="B340" s="19" t="s">
        <v>1515</v>
      </c>
      <c r="C340" s="19" t="s">
        <v>1712</v>
      </c>
      <c r="D340" s="19" t="str">
        <f>HYPERLINK("http://www.henontech.com/fieldsafety/harzard/harzard_show.php?rid=4909&amp;url=harzardrecs.php","蒸氨塔北花砖处有一弃用废旧管线，假如夜间操作工巡检作业时因视线不好一人被磕到，造成膝盖轻微擦伤，送医护室简单处理后继续工作。")</f>
        <v>蒸氨塔北花砖处有一弃用废旧管线，假如夜间操作工巡检作业时因视线不好一人被磕到，造成膝盖轻微擦伤，送医护室简单处理后继续工作。</v>
      </c>
      <c r="E340" s="19" t="s">
        <v>1713</v>
      </c>
      <c r="F340" s="20" t="s">
        <v>42</v>
      </c>
      <c r="G340" s="21" t="s">
        <v>43</v>
      </c>
      <c r="H340" s="19" t="s">
        <v>44</v>
      </c>
      <c r="I340" s="19" t="s">
        <v>45</v>
      </c>
      <c r="J340" s="19" t="s">
        <v>46</v>
      </c>
      <c r="K340" s="19" t="s">
        <v>69</v>
      </c>
      <c r="L340" s="19" t="s">
        <v>48</v>
      </c>
      <c r="M340" s="19" t="s">
        <v>70</v>
      </c>
      <c r="N340" s="19" t="s">
        <v>1714</v>
      </c>
      <c r="O340" s="19" t="s">
        <v>70</v>
      </c>
      <c r="P340" s="19" t="s">
        <v>72</v>
      </c>
      <c r="Q340" s="19" t="s">
        <v>1697</v>
      </c>
      <c r="R340" s="19" t="s">
        <v>1715</v>
      </c>
      <c r="S340" s="19"/>
      <c r="T340" s="19" t="s">
        <v>54</v>
      </c>
      <c r="U340" s="19" t="s">
        <v>75</v>
      </c>
      <c r="V340" s="19" t="s">
        <v>56</v>
      </c>
      <c r="W340" s="19" t="s">
        <v>138</v>
      </c>
      <c r="X340" s="19"/>
      <c r="Y340" s="19"/>
      <c r="Z340" s="19" t="s">
        <v>1716</v>
      </c>
      <c r="AA340" s="19">
        <v>1</v>
      </c>
      <c r="AB340" s="19">
        <v>1</v>
      </c>
      <c r="AC340" s="19" t="s">
        <v>60</v>
      </c>
      <c r="AD340" s="19" t="s">
        <v>72</v>
      </c>
      <c r="AE340" s="19" t="s">
        <v>1202</v>
      </c>
      <c r="AF340" s="19"/>
    </row>
    <row r="341" spans="1:34">
      <c r="A341" s="19">
        <v>332</v>
      </c>
      <c r="B341" s="19" t="s">
        <v>1717</v>
      </c>
      <c r="C341" s="19" t="s">
        <v>1118</v>
      </c>
      <c r="D341" s="19" t="str">
        <f>HYPERLINK("http://www.henontech.com/fieldsafety/harzard/harzard_show.php?rid=4980&amp;url=harzardrecs.php","1号水冷套管卸灰电机接线盒密封不严，遇下雨天接线盒内进水，操作工放灰过程中手部碰到电机，造成人员触电，送医治疗")</f>
        <v>1号水冷套管卸灰电机接线盒密封不严，遇下雨天接线盒内进水，操作工放灰过程中手部碰到电机，造成人员触电，送医治疗</v>
      </c>
      <c r="E341" s="19" t="s">
        <v>1718</v>
      </c>
      <c r="F341" s="20" t="s">
        <v>42</v>
      </c>
      <c r="G341" s="21" t="s">
        <v>43</v>
      </c>
      <c r="H341" s="19" t="s">
        <v>44</v>
      </c>
      <c r="I341" s="19" t="s">
        <v>67</v>
      </c>
      <c r="J341" s="19" t="s">
        <v>401</v>
      </c>
      <c r="K341" s="19" t="s">
        <v>47</v>
      </c>
      <c r="L341" s="19" t="s">
        <v>48</v>
      </c>
      <c r="M341" s="19" t="s">
        <v>117</v>
      </c>
      <c r="N341" s="19" t="s">
        <v>1719</v>
      </c>
      <c r="O341" s="19" t="s">
        <v>117</v>
      </c>
      <c r="P341" s="19" t="s">
        <v>876</v>
      </c>
      <c r="Q341" s="19" t="s">
        <v>1409</v>
      </c>
      <c r="R341" s="19" t="s">
        <v>451</v>
      </c>
      <c r="S341" s="19" t="s">
        <v>1720</v>
      </c>
      <c r="T341" s="19" t="s">
        <v>54</v>
      </c>
      <c r="U341" s="19" t="s">
        <v>121</v>
      </c>
      <c r="V341" s="19" t="s">
        <v>56</v>
      </c>
      <c r="W341" s="19" t="s">
        <v>122</v>
      </c>
      <c r="X341" s="19" t="s">
        <v>123</v>
      </c>
      <c r="Y341" s="19" t="s">
        <v>123</v>
      </c>
      <c r="Z341" s="19" t="s">
        <v>1721</v>
      </c>
      <c r="AA341" s="19">
        <v>1</v>
      </c>
      <c r="AB341" s="19">
        <v>1</v>
      </c>
      <c r="AC341" s="19" t="s">
        <v>60</v>
      </c>
      <c r="AD341" s="19" t="s">
        <v>876</v>
      </c>
      <c r="AE341" s="19" t="s">
        <v>1139</v>
      </c>
      <c r="AF341" s="19" t="s">
        <v>1722</v>
      </c>
    </row>
    <row r="342" spans="1:34">
      <c r="A342" s="19">
        <v>333</v>
      </c>
      <c r="B342" s="19" t="s">
        <v>1723</v>
      </c>
      <c r="C342" s="19" t="s">
        <v>1118</v>
      </c>
      <c r="D342" s="19" t="str">
        <f>HYPERLINK("http://www.henontech.com/fieldsafety/harzard/harzard_show.php?rid=5073&amp;url=harzardrecs.php","主控楼楼顶4号减温减压压力表伴热带破损，一巡检人员巡检至此处时，左手碰触压力表触电，送医治疗。")</f>
        <v>主控楼楼顶4号减温减压压力表伴热带破损，一巡检人员巡检至此处时，左手碰触压力表触电，送医治疗。</v>
      </c>
      <c r="E342" s="19" t="s">
        <v>1724</v>
      </c>
      <c r="F342" s="20" t="s">
        <v>42</v>
      </c>
      <c r="G342" s="21" t="s">
        <v>43</v>
      </c>
      <c r="H342" s="19" t="s">
        <v>44</v>
      </c>
      <c r="I342" s="19" t="s">
        <v>45</v>
      </c>
      <c r="J342" s="19" t="s">
        <v>401</v>
      </c>
      <c r="K342" s="19" t="s">
        <v>47</v>
      </c>
      <c r="L342" s="19" t="s">
        <v>48</v>
      </c>
      <c r="M342" s="19" t="s">
        <v>117</v>
      </c>
      <c r="N342" s="19" t="s">
        <v>1127</v>
      </c>
      <c r="O342" s="19" t="s">
        <v>117</v>
      </c>
      <c r="P342" s="19" t="s">
        <v>876</v>
      </c>
      <c r="Q342" s="19" t="s">
        <v>1351</v>
      </c>
      <c r="R342" s="19" t="s">
        <v>1725</v>
      </c>
      <c r="S342" s="19" t="s">
        <v>1726</v>
      </c>
      <c r="T342" s="19" t="s">
        <v>54</v>
      </c>
      <c r="U342" s="19" t="s">
        <v>55</v>
      </c>
      <c r="V342" s="19" t="s">
        <v>56</v>
      </c>
      <c r="W342" s="19" t="s">
        <v>57</v>
      </c>
      <c r="X342" s="19" t="s">
        <v>58</v>
      </c>
      <c r="Y342" s="19"/>
      <c r="Z342" s="19" t="s">
        <v>1727</v>
      </c>
      <c r="AA342" s="19">
        <v>1</v>
      </c>
      <c r="AB342" s="19">
        <v>1</v>
      </c>
      <c r="AC342" s="19" t="s">
        <v>60</v>
      </c>
      <c r="AD342" s="19" t="s">
        <v>876</v>
      </c>
      <c r="AE342" s="19" t="s">
        <v>1123</v>
      </c>
      <c r="AF342" s="19" t="s">
        <v>1728</v>
      </c>
    </row>
    <row r="343" spans="1:34">
      <c r="A343" s="19">
        <v>334</v>
      </c>
      <c r="B343" s="19" t="s">
        <v>1723</v>
      </c>
      <c r="C343" s="19" t="s">
        <v>689</v>
      </c>
      <c r="D343" s="19" t="str">
        <f>HYPERLINK("http://www.henontech.com/fieldsafety/harzard/harzard_show.php?rid=5074&amp;url=harzardrecs.php","2＃提升机北门上部一电缆线头外漏碰触门上沿铁皮，巡检人员巡检此处时右手触碰门边触电，送医治疗。")</f>
        <v>2＃提升机北门上部一电缆线头外漏碰触门上沿铁皮，巡检人员巡检此处时右手触碰门边触电，送医治疗。</v>
      </c>
      <c r="E343" s="19" t="s">
        <v>1729</v>
      </c>
      <c r="F343" s="20" t="s">
        <v>42</v>
      </c>
      <c r="G343" s="21" t="s">
        <v>43</v>
      </c>
      <c r="H343" s="19" t="s">
        <v>44</v>
      </c>
      <c r="I343" s="19" t="s">
        <v>67</v>
      </c>
      <c r="J343" s="19" t="s">
        <v>202</v>
      </c>
      <c r="K343" s="19" t="s">
        <v>47</v>
      </c>
      <c r="L343" s="19" t="s">
        <v>48</v>
      </c>
      <c r="M343" s="19" t="s">
        <v>117</v>
      </c>
      <c r="N343" s="19" t="s">
        <v>1318</v>
      </c>
      <c r="O343" s="19" t="s">
        <v>117</v>
      </c>
      <c r="P343" s="19" t="s">
        <v>876</v>
      </c>
      <c r="Q343" s="19" t="s">
        <v>1730</v>
      </c>
      <c r="R343" s="19" t="s">
        <v>1731</v>
      </c>
      <c r="S343" s="19" t="s">
        <v>1732</v>
      </c>
      <c r="T343" s="19" t="s">
        <v>54</v>
      </c>
      <c r="U343" s="19" t="s">
        <v>55</v>
      </c>
      <c r="V343" s="19" t="s">
        <v>56</v>
      </c>
      <c r="W343" s="19" t="s">
        <v>57</v>
      </c>
      <c r="X343" s="19" t="s">
        <v>58</v>
      </c>
      <c r="Y343" s="19"/>
      <c r="Z343" s="19" t="s">
        <v>1733</v>
      </c>
      <c r="AA343" s="19">
        <v>1</v>
      </c>
      <c r="AB343" s="19">
        <v>1</v>
      </c>
      <c r="AC343" s="19" t="s">
        <v>60</v>
      </c>
      <c r="AD343" s="19" t="s">
        <v>876</v>
      </c>
      <c r="AE343" s="19" t="s">
        <v>1139</v>
      </c>
      <c r="AF343" s="19" t="s">
        <v>1734</v>
      </c>
    </row>
    <row r="344" spans="1:34">
      <c r="A344" s="19">
        <v>335</v>
      </c>
      <c r="B344" s="19" t="s">
        <v>1723</v>
      </c>
      <c r="C344" s="19" t="s">
        <v>1735</v>
      </c>
      <c r="D344" s="19" t="str">
        <f>HYPERLINK("http://www.henontech.com/fieldsafety/harzard/harzard_show.php?rid=5076&amp;url=harzardrecs.php","除盐水站PLC室内，浓水回用系统电脑连接线绝缘层破损，导致失去绝缘能力，一旦产生短路，造成电脑无法正常工作，导致污水池液位无法正常显示，污水外溢，指标超标，造成集团公司通报批评的严重环保事故")</f>
        <v>除盐水站PLC室内，浓水回用系统电脑连接线绝缘层破损，导致失去绝缘能力，一旦产生短路，造成电脑无法正常工作，导致污水池液位无法正常显示，污水外溢，指标超标，造成集团公司通报批评的严重环保事故</v>
      </c>
      <c r="E344" s="19" t="s">
        <v>1736</v>
      </c>
      <c r="F344" s="20" t="s">
        <v>42</v>
      </c>
      <c r="G344" s="21" t="s">
        <v>43</v>
      </c>
      <c r="H344" s="19" t="s">
        <v>44</v>
      </c>
      <c r="I344" s="19" t="s">
        <v>67</v>
      </c>
      <c r="J344" s="19" t="s">
        <v>68</v>
      </c>
      <c r="K344" s="19" t="s">
        <v>47</v>
      </c>
      <c r="L344" s="19" t="s">
        <v>48</v>
      </c>
      <c r="M344" s="19" t="s">
        <v>117</v>
      </c>
      <c r="N344" s="19" t="s">
        <v>1737</v>
      </c>
      <c r="O344" s="19" t="s">
        <v>117</v>
      </c>
      <c r="P344" s="19" t="s">
        <v>876</v>
      </c>
      <c r="Q344" s="19" t="s">
        <v>1351</v>
      </c>
      <c r="R344" s="19" t="s">
        <v>1133</v>
      </c>
      <c r="S344" s="19" t="s">
        <v>1738</v>
      </c>
      <c r="T344" s="19" t="s">
        <v>985</v>
      </c>
      <c r="U344" s="19" t="s">
        <v>55</v>
      </c>
      <c r="V344" s="19" t="s">
        <v>56</v>
      </c>
      <c r="W344" s="19" t="s">
        <v>57</v>
      </c>
      <c r="X344" s="19" t="s">
        <v>58</v>
      </c>
      <c r="Y344" s="19"/>
      <c r="Z344" s="19" t="s">
        <v>1739</v>
      </c>
      <c r="AA344" s="19">
        <v>1</v>
      </c>
      <c r="AB344" s="19">
        <v>1</v>
      </c>
      <c r="AC344" s="19" t="s">
        <v>60</v>
      </c>
      <c r="AD344" s="19" t="s">
        <v>876</v>
      </c>
      <c r="AE344" s="19" t="s">
        <v>1123</v>
      </c>
      <c r="AF344" s="19" t="s">
        <v>1740</v>
      </c>
    </row>
    <row r="345" spans="1:34">
      <c r="A345" s="19">
        <v>336</v>
      </c>
      <c r="B345" s="19" t="s">
        <v>1723</v>
      </c>
      <c r="C345" s="19" t="s">
        <v>1186</v>
      </c>
      <c r="D345" s="19" t="str">
        <f>HYPERLINK("http://www.henontech.com/fieldsafety/harzard/harzard_show.php?rid=5082&amp;url=harzardrecs.php","一员工巡检5号减温减压时，由于缺少通行爬梯，人员踩踏地面活动铁件通过时，人员摔倒，送医治疗。")</f>
        <v>一员工巡检5号减温减压时，由于缺少通行爬梯，人员踩踏地面活动铁件通过时，人员摔倒，送医治疗。</v>
      </c>
      <c r="E345" s="19" t="s">
        <v>1741</v>
      </c>
      <c r="F345" s="20" t="s">
        <v>42</v>
      </c>
      <c r="G345" s="21" t="s">
        <v>43</v>
      </c>
      <c r="H345" s="19" t="s">
        <v>44</v>
      </c>
      <c r="I345" s="19" t="s">
        <v>67</v>
      </c>
      <c r="J345" s="19" t="s">
        <v>46</v>
      </c>
      <c r="K345" s="19" t="s">
        <v>166</v>
      </c>
      <c r="L345" s="19" t="s">
        <v>48</v>
      </c>
      <c r="M345" s="19" t="s">
        <v>117</v>
      </c>
      <c r="N345" s="19" t="s">
        <v>223</v>
      </c>
      <c r="O345" s="19" t="s">
        <v>117</v>
      </c>
      <c r="P345" s="19" t="s">
        <v>876</v>
      </c>
      <c r="Q345" s="19" t="s">
        <v>1351</v>
      </c>
      <c r="R345" s="19" t="s">
        <v>1186</v>
      </c>
      <c r="S345" s="19" t="s">
        <v>1742</v>
      </c>
      <c r="T345" s="19" t="s">
        <v>54</v>
      </c>
      <c r="U345" s="19" t="s">
        <v>55</v>
      </c>
      <c r="V345" s="19" t="s">
        <v>271</v>
      </c>
      <c r="W345" s="19" t="s">
        <v>122</v>
      </c>
      <c r="X345" s="19" t="s">
        <v>58</v>
      </c>
      <c r="Y345" s="19"/>
      <c r="Z345" s="19" t="s">
        <v>1743</v>
      </c>
      <c r="AA345" s="19">
        <v>1</v>
      </c>
      <c r="AB345" s="19">
        <v>1</v>
      </c>
      <c r="AC345" s="19" t="s">
        <v>60</v>
      </c>
      <c r="AD345" s="19" t="s">
        <v>876</v>
      </c>
      <c r="AE345" s="19" t="s">
        <v>1322</v>
      </c>
      <c r="AF345" s="19" t="s">
        <v>1744</v>
      </c>
    </row>
    <row r="346" spans="1:34">
      <c r="A346" s="19">
        <v>337</v>
      </c>
      <c r="B346" s="19" t="s">
        <v>1745</v>
      </c>
      <c r="C346" s="19" t="s">
        <v>1700</v>
      </c>
      <c r="D346" s="19" t="str">
        <f>HYPERLINK("http://www.henontech.com/fieldsafety/harzard/harzard_show.php?rid=5086&amp;url=harzardrecs.php","一操作人员在巡检过程中因安全意识不强，未发现蒸发器底部法兰腐蚀被喷出的脱硫液烫伤脸部，送医务室简单处理后送医院")</f>
        <v>一操作人员在巡检过程中因安全意识不强，未发现蒸发器底部法兰腐蚀被喷出的脱硫液烫伤脸部，送医务室简单处理后送医院</v>
      </c>
      <c r="E346" s="19" t="s">
        <v>1746</v>
      </c>
      <c r="F346" s="20" t="s">
        <v>42</v>
      </c>
      <c r="G346" s="21" t="s">
        <v>43</v>
      </c>
      <c r="H346" s="19" t="s">
        <v>44</v>
      </c>
      <c r="I346" s="19" t="s">
        <v>45</v>
      </c>
      <c r="J346" s="19"/>
      <c r="K346" s="19"/>
      <c r="L346" s="19"/>
      <c r="M346" s="19" t="s">
        <v>70</v>
      </c>
      <c r="N346" s="19" t="s">
        <v>504</v>
      </c>
      <c r="O346" s="19" t="s">
        <v>70</v>
      </c>
      <c r="P346" s="19" t="s">
        <v>72</v>
      </c>
      <c r="Q346" s="19" t="s">
        <v>1697</v>
      </c>
      <c r="R346" s="19" t="s">
        <v>1747</v>
      </c>
      <c r="S346" s="19"/>
      <c r="T346" s="19" t="s">
        <v>54</v>
      </c>
      <c r="U346" s="19" t="s">
        <v>75</v>
      </c>
      <c r="V346" s="19" t="s">
        <v>101</v>
      </c>
      <c r="W346" s="19" t="s">
        <v>77</v>
      </c>
      <c r="X346" s="19"/>
      <c r="Y346" s="19"/>
      <c r="Z346" s="19" t="s">
        <v>1748</v>
      </c>
      <c r="AA346" s="19">
        <v>1</v>
      </c>
      <c r="AB346" s="19">
        <v>1</v>
      </c>
      <c r="AC346" s="19" t="s">
        <v>60</v>
      </c>
      <c r="AD346" s="19" t="s">
        <v>72</v>
      </c>
      <c r="AE346" s="19" t="s">
        <v>1202</v>
      </c>
      <c r="AF346" s="19"/>
    </row>
    <row r="347" spans="1:34">
      <c r="A347" s="19">
        <v>338</v>
      </c>
      <c r="B347" s="19" t="s">
        <v>1492</v>
      </c>
      <c r="C347" s="19" t="s">
        <v>1007</v>
      </c>
      <c r="D347" s="19" t="str">
        <f>HYPERLINK("http://www.henontech.com/fieldsafety/harzard/harzard_show.php?rid=5171&amp;url=harzardrecs.php","南循环水泵房外照明灯损坏，中夜班现场光线昏暗，假如一名巡检工在巡检时，有可能被地面杂物绊倒摔伤，造成右手腕骨折，送医治疗半月，休息三个月后复工")</f>
        <v>南循环水泵房外照明灯损坏，中夜班现场光线昏暗，假如一名巡检工在巡检时，有可能被地面杂物绊倒摔伤，造成右手腕骨折，送医治疗半月，休息三个月后复工</v>
      </c>
      <c r="E347" s="19" t="s">
        <v>1749</v>
      </c>
      <c r="F347" s="20" t="s">
        <v>42</v>
      </c>
      <c r="G347" s="21" t="s">
        <v>43</v>
      </c>
      <c r="H347" s="19" t="s">
        <v>44</v>
      </c>
      <c r="I347" s="19" t="s">
        <v>45</v>
      </c>
      <c r="J347" s="19" t="s">
        <v>46</v>
      </c>
      <c r="K347" s="19" t="s">
        <v>69</v>
      </c>
      <c r="L347" s="19" t="s">
        <v>48</v>
      </c>
      <c r="M347" s="19" t="s">
        <v>70</v>
      </c>
      <c r="N347" s="19" t="s">
        <v>1750</v>
      </c>
      <c r="O347" s="19" t="s">
        <v>70</v>
      </c>
      <c r="P347" s="19" t="s">
        <v>72</v>
      </c>
      <c r="Q347" s="19" t="s">
        <v>1697</v>
      </c>
      <c r="R347" s="19" t="s">
        <v>1751</v>
      </c>
      <c r="S347" s="19"/>
      <c r="T347" s="19" t="s">
        <v>54</v>
      </c>
      <c r="U347" s="19" t="s">
        <v>55</v>
      </c>
      <c r="V347" s="19" t="s">
        <v>56</v>
      </c>
      <c r="W347" s="19" t="s">
        <v>57</v>
      </c>
      <c r="X347" s="19"/>
      <c r="Y347" s="19"/>
      <c r="Z347" s="19" t="s">
        <v>1752</v>
      </c>
      <c r="AA347" s="19">
        <v>1</v>
      </c>
      <c r="AB347" s="19">
        <v>1</v>
      </c>
      <c r="AC347" s="19" t="s">
        <v>60</v>
      </c>
      <c r="AD347" s="19" t="s">
        <v>72</v>
      </c>
      <c r="AE347" s="19" t="s">
        <v>1080</v>
      </c>
      <c r="AF347" s="19"/>
    </row>
    <row r="348" spans="1:34">
      <c r="A348" s="19">
        <v>339</v>
      </c>
      <c r="B348" s="19" t="s">
        <v>1492</v>
      </c>
      <c r="C348" s="19" t="s">
        <v>1712</v>
      </c>
      <c r="D348" s="19" t="str">
        <f>HYPERLINK("http://www.henontech.com/fieldsafety/harzard/harzard_show.php?rid=5199&amp;url=harzardrecs.php","北脱硫碱液罐爬梯无警示牌，如果一名操作工爬梯时，不慎摔落，立即就医。")</f>
        <v>北脱硫碱液罐爬梯无警示牌，如果一名操作工爬梯时，不慎摔落，立即就医。</v>
      </c>
      <c r="E348" s="19" t="s">
        <v>1753</v>
      </c>
      <c r="F348" s="20" t="s">
        <v>42</v>
      </c>
      <c r="G348" s="21" t="s">
        <v>43</v>
      </c>
      <c r="H348" s="19" t="s">
        <v>44</v>
      </c>
      <c r="I348" s="19" t="s">
        <v>45</v>
      </c>
      <c r="J348" s="19" t="s">
        <v>46</v>
      </c>
      <c r="K348" s="19" t="s">
        <v>69</v>
      </c>
      <c r="L348" s="19"/>
      <c r="M348" s="19" t="s">
        <v>70</v>
      </c>
      <c r="N348" s="19" t="s">
        <v>784</v>
      </c>
      <c r="O348" s="19" t="s">
        <v>70</v>
      </c>
      <c r="P348" s="19" t="s">
        <v>72</v>
      </c>
      <c r="Q348" s="19" t="s">
        <v>1697</v>
      </c>
      <c r="R348" s="19" t="s">
        <v>1754</v>
      </c>
      <c r="S348" s="19"/>
      <c r="T348" s="19" t="s">
        <v>54</v>
      </c>
      <c r="U348" s="19" t="s">
        <v>55</v>
      </c>
      <c r="V348" s="19" t="s">
        <v>101</v>
      </c>
      <c r="W348" s="19" t="s">
        <v>138</v>
      </c>
      <c r="X348" s="19"/>
      <c r="Y348" s="19"/>
      <c r="Z348" s="19" t="s">
        <v>1755</v>
      </c>
      <c r="AA348" s="19">
        <v>1</v>
      </c>
      <c r="AB348" s="19">
        <v>1</v>
      </c>
      <c r="AC348" s="19" t="s">
        <v>60</v>
      </c>
      <c r="AD348" s="19" t="s">
        <v>72</v>
      </c>
      <c r="AE348" s="19" t="s">
        <v>1202</v>
      </c>
      <c r="AF348" s="19"/>
    </row>
    <row r="349" spans="1:34">
      <c r="A349" s="19">
        <v>340</v>
      </c>
      <c r="B349" s="19" t="s">
        <v>1528</v>
      </c>
      <c r="C349" s="19" t="s">
        <v>221</v>
      </c>
      <c r="D349" s="19" t="str">
        <f>HYPERLINK("http://www.henontech.com/fieldsafety/harzard/harzard_show.php?rid=5264&amp;url=harzardrecs.php","汽轮机冷油器西侧玻璃破裂，一员工在巡检至此时，破裂的玻璃突然掉落，划伤该员工右前臂，经医务室包扎后回到岗位，可从事简单劳动。")</f>
        <v>汽轮机冷油器西侧玻璃破裂，一员工在巡检至此时，破裂的玻璃突然掉落，划伤该员工右前臂，经医务室包扎后回到岗位，可从事简单劳动。</v>
      </c>
      <c r="E349" s="19" t="s">
        <v>1756</v>
      </c>
      <c r="F349" s="20" t="s">
        <v>42</v>
      </c>
      <c r="G349" s="21" t="s">
        <v>43</v>
      </c>
      <c r="H349" s="19" t="s">
        <v>44</v>
      </c>
      <c r="I349" s="19" t="s">
        <v>67</v>
      </c>
      <c r="J349" s="19" t="s">
        <v>46</v>
      </c>
      <c r="K349" s="19" t="s">
        <v>145</v>
      </c>
      <c r="L349" s="19" t="s">
        <v>48</v>
      </c>
      <c r="M349" s="19" t="s">
        <v>117</v>
      </c>
      <c r="N349" s="19" t="s">
        <v>1179</v>
      </c>
      <c r="O349" s="19" t="s">
        <v>117</v>
      </c>
      <c r="P349" s="19" t="s">
        <v>937</v>
      </c>
      <c r="Q349" s="19" t="s">
        <v>1351</v>
      </c>
      <c r="R349" s="19" t="s">
        <v>1757</v>
      </c>
      <c r="S349" s="19" t="s">
        <v>1758</v>
      </c>
      <c r="T349" s="19" t="s">
        <v>54</v>
      </c>
      <c r="U349" s="19" t="s">
        <v>75</v>
      </c>
      <c r="V349" s="19" t="s">
        <v>271</v>
      </c>
      <c r="W349" s="19" t="s">
        <v>57</v>
      </c>
      <c r="X349" s="19" t="s">
        <v>58</v>
      </c>
      <c r="Y349" s="19"/>
      <c r="Z349" s="19" t="s">
        <v>1759</v>
      </c>
      <c r="AA349" s="19">
        <v>1</v>
      </c>
      <c r="AB349" s="19">
        <v>1</v>
      </c>
      <c r="AC349" s="19" t="s">
        <v>60</v>
      </c>
      <c r="AD349" s="19" t="s">
        <v>937</v>
      </c>
      <c r="AE349" s="19" t="s">
        <v>1088</v>
      </c>
      <c r="AF349" s="19" t="s">
        <v>1760</v>
      </c>
    </row>
    <row r="350" spans="1:34">
      <c r="A350" s="19">
        <v>341</v>
      </c>
      <c r="B350" s="19" t="s">
        <v>1528</v>
      </c>
      <c r="C350" s="19" t="s">
        <v>1761</v>
      </c>
      <c r="D350" s="19" t="str">
        <f>HYPERLINK("http://www.henontech.com/fieldsafety/harzard/harzard_show.php?rid=5277&amp;url=harzardrecs.php","地面铁管未清理，一巡检工经过蒸发冷时被地面铁管绊倒，造成右脚轻微扭伤，短暂休息后继续上班。")</f>
        <v>地面铁管未清理，一巡检工经过蒸发冷时被地面铁管绊倒，造成右脚轻微扭伤，短暂休息后继续上班。</v>
      </c>
      <c r="E350" s="19" t="s">
        <v>1762</v>
      </c>
      <c r="F350" s="20" t="s">
        <v>42</v>
      </c>
      <c r="G350" s="21" t="s">
        <v>43</v>
      </c>
      <c r="H350" s="19" t="s">
        <v>44</v>
      </c>
      <c r="I350" s="19" t="s">
        <v>45</v>
      </c>
      <c r="J350" s="19" t="s">
        <v>46</v>
      </c>
      <c r="K350" s="19" t="s">
        <v>69</v>
      </c>
      <c r="L350" s="19" t="s">
        <v>48</v>
      </c>
      <c r="M350" s="19" t="s">
        <v>70</v>
      </c>
      <c r="N350" s="19" t="s">
        <v>1763</v>
      </c>
      <c r="O350" s="19" t="s">
        <v>70</v>
      </c>
      <c r="P350" s="19" t="s">
        <v>72</v>
      </c>
      <c r="Q350" s="19" t="s">
        <v>1697</v>
      </c>
      <c r="R350" s="19" t="s">
        <v>1764</v>
      </c>
      <c r="S350" s="19"/>
      <c r="T350" s="19" t="s">
        <v>54</v>
      </c>
      <c r="U350" s="19" t="s">
        <v>75</v>
      </c>
      <c r="V350" s="19" t="s">
        <v>101</v>
      </c>
      <c r="W350" s="19" t="s">
        <v>77</v>
      </c>
      <c r="X350" s="19"/>
      <c r="Y350" s="19"/>
      <c r="Z350" s="19" t="s">
        <v>1765</v>
      </c>
      <c r="AA350" s="19">
        <v>1</v>
      </c>
      <c r="AB350" s="19">
        <v>1</v>
      </c>
      <c r="AC350" s="19" t="s">
        <v>60</v>
      </c>
      <c r="AD350" s="19" t="s">
        <v>72</v>
      </c>
      <c r="AE350" s="19" t="s">
        <v>1202</v>
      </c>
      <c r="AF350" s="19"/>
    </row>
    <row r="351" spans="1:34">
      <c r="A351" s="19">
        <v>342</v>
      </c>
      <c r="B351" s="19" t="s">
        <v>1528</v>
      </c>
      <c r="C351" s="19" t="s">
        <v>1380</v>
      </c>
      <c r="D351" s="19" t="str">
        <f>HYPERLINK("http://www.henontech.com/fieldsafety/harzard/harzard_show.php?rid=5287&amp;url=harzardrecs.php","一次水池自动补水管弃用未拆除，管线高4米，底部连接处已腐蚀断裂，处与悬空状态，一名员工巡检到此处时，自动补水管上部连接处一旦断裂，管线坠落，砸中该员工左肩，送医检查，左肩骨折，住院治疗十天，休养三个月")</f>
        <v>一次水池自动补水管弃用未拆除，管线高4米，底部连接处已腐蚀断裂，处与悬空状态，一名员工巡检到此处时，自动补水管上部连接处一旦断裂，管线坠落，砸中该员工左肩，送医检查，左肩骨折，住院治疗十天，休养三个月</v>
      </c>
      <c r="E351" s="19" t="s">
        <v>1766</v>
      </c>
      <c r="F351" s="20" t="s">
        <v>42</v>
      </c>
      <c r="G351" s="21" t="s">
        <v>43</v>
      </c>
      <c r="H351" s="19" t="s">
        <v>44</v>
      </c>
      <c r="I351" s="19" t="s">
        <v>45</v>
      </c>
      <c r="J351" s="19" t="s">
        <v>46</v>
      </c>
      <c r="K351" s="19" t="s">
        <v>209</v>
      </c>
      <c r="L351" s="19" t="s">
        <v>48</v>
      </c>
      <c r="M351" s="19" t="s">
        <v>117</v>
      </c>
      <c r="N351" s="19" t="s">
        <v>1014</v>
      </c>
      <c r="O351" s="19" t="s">
        <v>117</v>
      </c>
      <c r="P351" s="19" t="s">
        <v>635</v>
      </c>
      <c r="Q351" s="19" t="s">
        <v>1351</v>
      </c>
      <c r="R351" s="19" t="s">
        <v>1352</v>
      </c>
      <c r="S351" s="19" t="s">
        <v>1767</v>
      </c>
      <c r="T351" s="19" t="s">
        <v>54</v>
      </c>
      <c r="U351" s="19" t="s">
        <v>55</v>
      </c>
      <c r="V351" s="19" t="s">
        <v>56</v>
      </c>
      <c r="W351" s="19" t="s">
        <v>57</v>
      </c>
      <c r="X351" s="19" t="s">
        <v>58</v>
      </c>
      <c r="Y351" s="19"/>
      <c r="Z351" s="19" t="s">
        <v>1768</v>
      </c>
      <c r="AA351" s="19">
        <v>1</v>
      </c>
      <c r="AB351" s="19">
        <v>1</v>
      </c>
      <c r="AC351" s="19" t="s">
        <v>60</v>
      </c>
      <c r="AD351" s="19" t="s">
        <v>635</v>
      </c>
      <c r="AE351" s="19" t="s">
        <v>1139</v>
      </c>
      <c r="AF351" s="19" t="s">
        <v>1769</v>
      </c>
    </row>
    <row r="352" spans="1:34">
      <c r="A352" s="19">
        <v>343</v>
      </c>
      <c r="B352" s="19" t="s">
        <v>1528</v>
      </c>
      <c r="C352" s="19" t="s">
        <v>186</v>
      </c>
      <c r="D352" s="19" t="str">
        <f>HYPERLINK("http://www.henontech.com/fieldsafety/harzard/harzard_show.php?rid=5301&amp;url=harzardrecs.php","循环泵异响一操作工巡检过程中发现循环泵有异响及时倒备用泵通知维修处理，维修工诊断循环泵叶轮松动，停车维修2个小时造成财产损失8千元")</f>
        <v>循环泵异响一操作工巡检过程中发现循环泵有异响及时倒备用泵通知维修处理，维修工诊断循环泵叶轮松动，停车维修2个小时造成财产损失8千元</v>
      </c>
      <c r="E352" s="19" t="s">
        <v>1770</v>
      </c>
      <c r="F352" s="20" t="s">
        <v>42</v>
      </c>
      <c r="G352" s="21" t="s">
        <v>43</v>
      </c>
      <c r="H352" s="19" t="s">
        <v>44</v>
      </c>
      <c r="I352" s="19" t="s">
        <v>761</v>
      </c>
      <c r="J352" s="19" t="s">
        <v>46</v>
      </c>
      <c r="K352" s="19" t="s">
        <v>69</v>
      </c>
      <c r="L352" s="19"/>
      <c r="M352" s="19" t="s">
        <v>70</v>
      </c>
      <c r="N352" s="19" t="s">
        <v>1771</v>
      </c>
      <c r="O352" s="19" t="s">
        <v>96</v>
      </c>
      <c r="P352" s="19" t="s">
        <v>217</v>
      </c>
      <c r="Q352" s="19" t="s">
        <v>1409</v>
      </c>
      <c r="R352" s="19" t="s">
        <v>1772</v>
      </c>
      <c r="S352" s="19"/>
      <c r="T352" s="19" t="s">
        <v>100</v>
      </c>
      <c r="U352" s="19" t="s">
        <v>192</v>
      </c>
      <c r="V352" s="19" t="s">
        <v>56</v>
      </c>
      <c r="W352" s="19" t="s">
        <v>77</v>
      </c>
      <c r="X352" s="19"/>
      <c r="Y352" s="19"/>
      <c r="Z352" s="19" t="s">
        <v>1773</v>
      </c>
      <c r="AA352" s="19">
        <v>1</v>
      </c>
      <c r="AB352" s="19">
        <v>1</v>
      </c>
      <c r="AC352" s="19" t="s">
        <v>60</v>
      </c>
      <c r="AD352" s="19" t="s">
        <v>217</v>
      </c>
      <c r="AE352" s="19" t="s">
        <v>1139</v>
      </c>
      <c r="AF352" s="19" t="s">
        <v>1774</v>
      </c>
    </row>
    <row r="353" spans="1:34">
      <c r="A353" s="19">
        <v>344</v>
      </c>
      <c r="B353" s="19" t="s">
        <v>1528</v>
      </c>
      <c r="C353" s="19" t="s">
        <v>1118</v>
      </c>
      <c r="D353" s="19" t="str">
        <f>HYPERLINK("http://www.henontech.com/fieldsafety/harzard/harzard_show.php?rid=5322&amp;url=harzardrecs.php","一次除尘二层北边放灰电机平台铁板缺失，一名员工放灰时左脚被管线磕绊，不慎踏入缺失处造成左脚脚踝划伤出血。医院包扎限工五天")</f>
        <v>一次除尘二层北边放灰电机平台铁板缺失，一名员工放灰时左脚被管线磕绊，不慎踏入缺失处造成左脚脚踝划伤出血。医院包扎限工五天</v>
      </c>
      <c r="E353" s="19" t="s">
        <v>1775</v>
      </c>
      <c r="F353" s="20" t="s">
        <v>42</v>
      </c>
      <c r="G353" s="21" t="s">
        <v>43</v>
      </c>
      <c r="H353" s="19" t="s">
        <v>44</v>
      </c>
      <c r="I353" s="19" t="s">
        <v>83</v>
      </c>
      <c r="J353" s="19" t="s">
        <v>46</v>
      </c>
      <c r="K353" s="19" t="s">
        <v>69</v>
      </c>
      <c r="L353" s="19" t="s">
        <v>48</v>
      </c>
      <c r="M353" s="19" t="s">
        <v>117</v>
      </c>
      <c r="N353" s="19" t="s">
        <v>1161</v>
      </c>
      <c r="O353" s="19" t="s">
        <v>117</v>
      </c>
      <c r="P353" s="19" t="s">
        <v>635</v>
      </c>
      <c r="Q353" s="19" t="s">
        <v>1730</v>
      </c>
      <c r="R353" s="19" t="s">
        <v>1776</v>
      </c>
      <c r="S353" s="19" t="s">
        <v>1777</v>
      </c>
      <c r="T353" s="19" t="s">
        <v>54</v>
      </c>
      <c r="U353" s="19" t="s">
        <v>75</v>
      </c>
      <c r="V353" s="19" t="s">
        <v>56</v>
      </c>
      <c r="W353" s="19" t="s">
        <v>138</v>
      </c>
      <c r="X353" s="19" t="s">
        <v>58</v>
      </c>
      <c r="Y353" s="19"/>
      <c r="Z353" s="19" t="s">
        <v>1778</v>
      </c>
      <c r="AA353" s="19">
        <v>1</v>
      </c>
      <c r="AB353" s="19">
        <v>1</v>
      </c>
      <c r="AC353" s="19" t="s">
        <v>60</v>
      </c>
      <c r="AD353" s="19" t="s">
        <v>635</v>
      </c>
      <c r="AE353" s="19" t="s">
        <v>1139</v>
      </c>
      <c r="AF353" s="19"/>
    </row>
    <row r="354" spans="1:34">
      <c r="A354" s="19">
        <v>345</v>
      </c>
      <c r="B354" s="19" t="s">
        <v>1528</v>
      </c>
      <c r="C354" s="19" t="s">
        <v>186</v>
      </c>
      <c r="D354" s="19" t="str">
        <f>HYPERLINK("http://www.henontech.com/fieldsafety/harzard/harzard_show.php?rid=5331&amp;url=harzardrecs.php","控制箱电源线长时间裸露老化，绝缘保护管未起到防护作用，一操作工操作过程中触电，送医院治疗3天在家休养5天。")</f>
        <v>控制箱电源线长时间裸露老化，绝缘保护管未起到防护作用，一操作工操作过程中触电，送医院治疗3天在家休养5天。</v>
      </c>
      <c r="E354" s="19" t="s">
        <v>1779</v>
      </c>
      <c r="F354" s="20" t="s">
        <v>42</v>
      </c>
      <c r="G354" s="21" t="s">
        <v>43</v>
      </c>
      <c r="H354" s="19" t="s">
        <v>44</v>
      </c>
      <c r="I354" s="19" t="s">
        <v>67</v>
      </c>
      <c r="J354" s="19" t="s">
        <v>202</v>
      </c>
      <c r="K354" s="19" t="s">
        <v>145</v>
      </c>
      <c r="L354" s="19"/>
      <c r="M354" s="19" t="s">
        <v>84</v>
      </c>
      <c r="N354" s="19" t="s">
        <v>1780</v>
      </c>
      <c r="O354" s="19" t="s">
        <v>96</v>
      </c>
      <c r="P354" s="19" t="s">
        <v>217</v>
      </c>
      <c r="Q354" s="19" t="s">
        <v>1409</v>
      </c>
      <c r="R354" s="19" t="s">
        <v>1781</v>
      </c>
      <c r="S354" s="19"/>
      <c r="T354" s="19" t="s">
        <v>54</v>
      </c>
      <c r="U354" s="19" t="s">
        <v>55</v>
      </c>
      <c r="V354" s="19" t="s">
        <v>101</v>
      </c>
      <c r="W354" s="19" t="s">
        <v>138</v>
      </c>
      <c r="X354" s="19"/>
      <c r="Y354" s="19"/>
      <c r="Z354" s="19" t="s">
        <v>1782</v>
      </c>
      <c r="AA354" s="19">
        <v>1</v>
      </c>
      <c r="AB354" s="19">
        <v>1</v>
      </c>
      <c r="AC354" s="19" t="s">
        <v>60</v>
      </c>
      <c r="AD354" s="19" t="s">
        <v>217</v>
      </c>
      <c r="AE354" s="19" t="s">
        <v>1139</v>
      </c>
      <c r="AF354" s="19" t="s">
        <v>1783</v>
      </c>
    </row>
    <row r="355" spans="1:34">
      <c r="A355" s="19">
        <v>346</v>
      </c>
      <c r="B355" s="19" t="s">
        <v>1784</v>
      </c>
      <c r="C355" s="19" t="s">
        <v>1118</v>
      </c>
      <c r="D355" s="19" t="str">
        <f>HYPERLINK("http://www.henontech.com/fieldsafety/harzard/harzard_show.php?rid=5341&amp;url=harzardrecs.php","在巡检干熄焦东侧地面除尘时，由于地面除尘平台腐蚀严重，部分铁板掉落，巡检时不慎右脚踩入空隙中，因空隙较大，从8米平台跌落到地面，头部着地当场死亡")</f>
        <v>在巡检干熄焦东侧地面除尘时，由于地面除尘平台腐蚀严重，部分铁板掉落，巡检时不慎右脚踩入空隙中，因空隙较大，从8米平台跌落到地面，头部着地当场死亡</v>
      </c>
      <c r="E355" s="19" t="s">
        <v>512</v>
      </c>
      <c r="F355" s="20" t="s">
        <v>42</v>
      </c>
      <c r="G355" s="21" t="s">
        <v>43</v>
      </c>
      <c r="H355" s="19" t="s">
        <v>44</v>
      </c>
      <c r="I355" s="19" t="s">
        <v>83</v>
      </c>
      <c r="J355" s="19" t="s">
        <v>46</v>
      </c>
      <c r="K355" s="19" t="s">
        <v>69</v>
      </c>
      <c r="L355" s="19" t="s">
        <v>48</v>
      </c>
      <c r="M355" s="19" t="s">
        <v>117</v>
      </c>
      <c r="N355" s="19" t="s">
        <v>1172</v>
      </c>
      <c r="O355" s="19" t="s">
        <v>117</v>
      </c>
      <c r="P355" s="19" t="s">
        <v>937</v>
      </c>
      <c r="Q355" s="19" t="s">
        <v>1730</v>
      </c>
      <c r="R355" s="19" t="s">
        <v>1785</v>
      </c>
      <c r="S355" s="19" t="s">
        <v>1786</v>
      </c>
      <c r="T355" s="19" t="s">
        <v>54</v>
      </c>
      <c r="U355" s="19" t="s">
        <v>121</v>
      </c>
      <c r="V355" s="19" t="s">
        <v>271</v>
      </c>
      <c r="W355" s="19" t="s">
        <v>122</v>
      </c>
      <c r="X355" s="19" t="s">
        <v>58</v>
      </c>
      <c r="Y355" s="19"/>
      <c r="Z355" s="19" t="s">
        <v>1603</v>
      </c>
      <c r="AA355" s="19">
        <v>1</v>
      </c>
      <c r="AB355" s="19">
        <v>1</v>
      </c>
      <c r="AC355" s="19" t="s">
        <v>60</v>
      </c>
      <c r="AD355" s="19" t="s">
        <v>937</v>
      </c>
      <c r="AE355" s="19" t="s">
        <v>1123</v>
      </c>
      <c r="AF355" s="19" t="s">
        <v>1787</v>
      </c>
    </row>
    <row r="356" spans="1:34">
      <c r="A356" s="19">
        <v>347</v>
      </c>
      <c r="B356" s="19" t="s">
        <v>1784</v>
      </c>
      <c r="C356" s="19" t="s">
        <v>549</v>
      </c>
      <c r="D356" s="19" t="str">
        <f>HYPERLINK("http://www.henontech.com/fieldsafety/harzard/harzard_show.php?rid=5343&amp;url=harzardrecs.php","一名职工在南风机初冷器巡检时由于地面接地线凸起在行走过程中摔倒，造成手部轻微擦伤，后经医务室处理后继续上班")</f>
        <v>一名职工在南风机初冷器巡检时由于地面接地线凸起在行走过程中摔倒，造成手部轻微擦伤，后经医务室处理后继续上班</v>
      </c>
      <c r="E356" s="19" t="s">
        <v>1788</v>
      </c>
      <c r="F356" s="20" t="s">
        <v>42</v>
      </c>
      <c r="G356" s="21" t="s">
        <v>43</v>
      </c>
      <c r="H356" s="19" t="s">
        <v>44</v>
      </c>
      <c r="I356" s="19" t="s">
        <v>45</v>
      </c>
      <c r="J356" s="19" t="s">
        <v>46</v>
      </c>
      <c r="K356" s="19" t="s">
        <v>69</v>
      </c>
      <c r="L356" s="19" t="s">
        <v>48</v>
      </c>
      <c r="M356" s="19" t="s">
        <v>70</v>
      </c>
      <c r="N356" s="19" t="s">
        <v>454</v>
      </c>
      <c r="O356" s="19" t="s">
        <v>70</v>
      </c>
      <c r="P356" s="19" t="s">
        <v>72</v>
      </c>
      <c r="Q356" s="19" t="s">
        <v>1697</v>
      </c>
      <c r="R356" s="19" t="s">
        <v>1789</v>
      </c>
      <c r="S356" s="19"/>
      <c r="T356" s="19" t="s">
        <v>54</v>
      </c>
      <c r="U356" s="19" t="s">
        <v>75</v>
      </c>
      <c r="V356" s="19" t="s">
        <v>271</v>
      </c>
      <c r="W356" s="19" t="s">
        <v>57</v>
      </c>
      <c r="X356" s="19"/>
      <c r="Y356" s="19"/>
      <c r="Z356" s="19" t="s">
        <v>1790</v>
      </c>
      <c r="AA356" s="19">
        <v>1</v>
      </c>
      <c r="AB356" s="19">
        <v>1</v>
      </c>
      <c r="AC356" s="19" t="s">
        <v>60</v>
      </c>
      <c r="AD356" s="19" t="s">
        <v>72</v>
      </c>
      <c r="AE356" s="19" t="s">
        <v>1202</v>
      </c>
      <c r="AF356" s="19"/>
    </row>
    <row r="357" spans="1:34">
      <c r="A357" s="19">
        <v>348</v>
      </c>
      <c r="B357" s="19" t="s">
        <v>1784</v>
      </c>
      <c r="C357" s="19" t="s">
        <v>1118</v>
      </c>
      <c r="D357" s="19" t="str">
        <f>HYPERLINK("http://www.henontech.com/fieldsafety/harzard/harzard_show.php?rid=5363&amp;url=harzardrecs.php","环境除尘三层电缆盒腐蚀脱落，电缆盒高3米，如遇大风天气，一名员工巡检经过此处时，电缆盒被大风吹下来，砸中该员工右臂，造成右臂划伤，送医包扎，休养一天")</f>
        <v>环境除尘三层电缆盒腐蚀脱落，电缆盒高3米，如遇大风天气，一名员工巡检经过此处时，电缆盒被大风吹下来，砸中该员工右臂，造成右臂划伤，送医包扎，休养一天</v>
      </c>
      <c r="E357" s="19" t="s">
        <v>1791</v>
      </c>
      <c r="F357" s="20" t="s">
        <v>42</v>
      </c>
      <c r="G357" s="21" t="s">
        <v>43</v>
      </c>
      <c r="H357" s="19" t="s">
        <v>44</v>
      </c>
      <c r="I357" s="19" t="s">
        <v>45</v>
      </c>
      <c r="J357" s="19" t="s">
        <v>46</v>
      </c>
      <c r="K357" s="19" t="s">
        <v>209</v>
      </c>
      <c r="L357" s="19" t="s">
        <v>48</v>
      </c>
      <c r="M357" s="19" t="s">
        <v>117</v>
      </c>
      <c r="N357" s="19" t="s">
        <v>735</v>
      </c>
      <c r="O357" s="19" t="s">
        <v>117</v>
      </c>
      <c r="P357" s="19" t="s">
        <v>635</v>
      </c>
      <c r="Q357" s="19" t="s">
        <v>1730</v>
      </c>
      <c r="R357" s="19" t="s">
        <v>1792</v>
      </c>
      <c r="S357" s="19" t="s">
        <v>1793</v>
      </c>
      <c r="T357" s="19" t="s">
        <v>54</v>
      </c>
      <c r="U357" s="19" t="s">
        <v>55</v>
      </c>
      <c r="V357" s="19" t="s">
        <v>56</v>
      </c>
      <c r="W357" s="19" t="s">
        <v>57</v>
      </c>
      <c r="X357" s="19" t="s">
        <v>58</v>
      </c>
      <c r="Y357" s="19"/>
      <c r="Z357" s="19" t="s">
        <v>1589</v>
      </c>
      <c r="AA357" s="19">
        <v>1</v>
      </c>
      <c r="AB357" s="19">
        <v>1</v>
      </c>
      <c r="AC357" s="19" t="s">
        <v>60</v>
      </c>
      <c r="AD357" s="19" t="s">
        <v>635</v>
      </c>
      <c r="AE357" s="19" t="s">
        <v>1139</v>
      </c>
      <c r="AF357" s="19" t="s">
        <v>1794</v>
      </c>
    </row>
    <row r="358" spans="1:34">
      <c r="A358" s="19">
        <v>349</v>
      </c>
      <c r="B358" s="19" t="s">
        <v>1784</v>
      </c>
      <c r="C358" s="19" t="s">
        <v>1211</v>
      </c>
      <c r="D358" s="19" t="str">
        <f>HYPERLINK("http://www.henontech.com/fieldsafety/harzard/harzard_show.php?rid=5399&amp;url=harzardrecs.php","除盐水箱爬梯底部缺失一层，夜班一名职工下爬梯时踩空，脚部受伤，送医检查为脚踝扭伤，在家休息10天。")</f>
        <v>除盐水箱爬梯底部缺失一层，夜班一名职工下爬梯时踩空，脚部受伤，送医检查为脚踝扭伤，在家休息10天。</v>
      </c>
      <c r="E358" s="19" t="s">
        <v>1795</v>
      </c>
      <c r="F358" s="20" t="s">
        <v>42</v>
      </c>
      <c r="G358" s="21" t="s">
        <v>43</v>
      </c>
      <c r="H358" s="19" t="s">
        <v>44</v>
      </c>
      <c r="I358" s="19" t="s">
        <v>45</v>
      </c>
      <c r="J358" s="19" t="s">
        <v>46</v>
      </c>
      <c r="K358" s="19" t="s">
        <v>69</v>
      </c>
      <c r="L358" s="19" t="s">
        <v>48</v>
      </c>
      <c r="M358" s="19" t="s">
        <v>117</v>
      </c>
      <c r="N358" s="19" t="s">
        <v>1796</v>
      </c>
      <c r="O358" s="19" t="s">
        <v>117</v>
      </c>
      <c r="P358" s="19" t="s">
        <v>635</v>
      </c>
      <c r="Q358" s="19" t="s">
        <v>1351</v>
      </c>
      <c r="R358" s="19" t="s">
        <v>1797</v>
      </c>
      <c r="S358" s="19" t="s">
        <v>1798</v>
      </c>
      <c r="T358" s="19" t="s">
        <v>54</v>
      </c>
      <c r="U358" s="19" t="s">
        <v>55</v>
      </c>
      <c r="V358" s="19" t="s">
        <v>56</v>
      </c>
      <c r="W358" s="19" t="s">
        <v>57</v>
      </c>
      <c r="X358" s="19" t="s">
        <v>58</v>
      </c>
      <c r="Y358" s="19"/>
      <c r="Z358" s="19" t="s">
        <v>1799</v>
      </c>
      <c r="AA358" s="19">
        <v>1</v>
      </c>
      <c r="AB358" s="19">
        <v>1</v>
      </c>
      <c r="AC358" s="19" t="s">
        <v>60</v>
      </c>
      <c r="AD358" s="19" t="s">
        <v>635</v>
      </c>
      <c r="AE358" s="19" t="s">
        <v>1139</v>
      </c>
      <c r="AF358" s="19"/>
    </row>
    <row r="359" spans="1:34">
      <c r="A359" s="19">
        <v>350</v>
      </c>
      <c r="B359" s="19" t="s">
        <v>1800</v>
      </c>
      <c r="C359" s="19" t="s">
        <v>1017</v>
      </c>
      <c r="D359" s="19" t="str">
        <f>HYPERLINK("http://www.henontech.com/fieldsafety/harzard/harzard_show.php?rid=5420&amp;url=harzardrecs.php","高压配电室隔离柜在线测温装置温度显示异常，巡检人员无法判定触头温度是否正常，如温度过高发生断路器触头烧损，会引起设备停电造成财产损失。")</f>
        <v>高压配电室隔离柜在线测温装置温度显示异常，巡检人员无法判定触头温度是否正常，如温度过高发生断路器触头烧损，会引起设备停电造成财产损失。</v>
      </c>
      <c r="E359" s="19" t="s">
        <v>1359</v>
      </c>
      <c r="F359" s="20" t="s">
        <v>42</v>
      </c>
      <c r="G359" s="21" t="s">
        <v>43</v>
      </c>
      <c r="H359" s="19" t="s">
        <v>44</v>
      </c>
      <c r="I359" s="19" t="s">
        <v>67</v>
      </c>
      <c r="J359" s="19" t="s">
        <v>46</v>
      </c>
      <c r="K359" s="19" t="s">
        <v>47</v>
      </c>
      <c r="L359" s="19" t="s">
        <v>48</v>
      </c>
      <c r="M359" s="19" t="s">
        <v>117</v>
      </c>
      <c r="N359" s="19" t="s">
        <v>310</v>
      </c>
      <c r="O359" s="19" t="s">
        <v>117</v>
      </c>
      <c r="P359" s="19" t="s">
        <v>937</v>
      </c>
      <c r="Q359" s="19" t="s">
        <v>1351</v>
      </c>
      <c r="R359" s="19" t="s">
        <v>1801</v>
      </c>
      <c r="S359" s="19" t="s">
        <v>1802</v>
      </c>
      <c r="T359" s="19" t="s">
        <v>100</v>
      </c>
      <c r="U359" s="19" t="s">
        <v>192</v>
      </c>
      <c r="V359" s="19" t="s">
        <v>56</v>
      </c>
      <c r="W359" s="19" t="s">
        <v>77</v>
      </c>
      <c r="X359" s="19" t="s">
        <v>58</v>
      </c>
      <c r="Y359" s="19"/>
      <c r="Z359" s="19" t="s">
        <v>1803</v>
      </c>
      <c r="AA359" s="19">
        <v>1</v>
      </c>
      <c r="AB359" s="19">
        <v>0</v>
      </c>
      <c r="AC359" s="19" t="s">
        <v>60</v>
      </c>
      <c r="AD359" s="19" t="s">
        <v>937</v>
      </c>
      <c r="AE359" s="19" t="s">
        <v>1132</v>
      </c>
      <c r="AF359" s="19" t="s">
        <v>1804</v>
      </c>
    </row>
    <row r="360" spans="1:34">
      <c r="A360" s="19">
        <v>351</v>
      </c>
      <c r="B360" s="19" t="s">
        <v>1800</v>
      </c>
      <c r="C360" s="19" t="s">
        <v>221</v>
      </c>
      <c r="D360" s="19" t="str">
        <f>HYPERLINK("http://www.henontech.com/fieldsafety/harzard/harzard_show.php?rid=5422&amp;url=harzardrecs.php","汽机房一楼射水箱处地沟盖板固定不牢，一员工巡检经过此处时，不慎踩翻盖板掉入排水沟内，送医务室检查，经诊断脚踝扭伤，休养7天。")</f>
        <v>汽机房一楼射水箱处地沟盖板固定不牢，一员工巡检经过此处时，不慎踩翻盖板掉入排水沟内，送医务室检查，经诊断脚踝扭伤，休养7天。</v>
      </c>
      <c r="E360" s="19" t="s">
        <v>1805</v>
      </c>
      <c r="F360" s="20" t="s">
        <v>42</v>
      </c>
      <c r="G360" s="21" t="s">
        <v>43</v>
      </c>
      <c r="H360" s="19" t="s">
        <v>44</v>
      </c>
      <c r="I360" s="19" t="s">
        <v>67</v>
      </c>
      <c r="J360" s="19" t="s">
        <v>46</v>
      </c>
      <c r="K360" s="19" t="s">
        <v>47</v>
      </c>
      <c r="L360" s="19" t="s">
        <v>48</v>
      </c>
      <c r="M360" s="19" t="s">
        <v>117</v>
      </c>
      <c r="N360" s="19" t="s">
        <v>1149</v>
      </c>
      <c r="O360" s="19" t="s">
        <v>117</v>
      </c>
      <c r="P360" s="19" t="s">
        <v>937</v>
      </c>
      <c r="Q360" s="19" t="s">
        <v>1351</v>
      </c>
      <c r="R360" s="19" t="s">
        <v>1806</v>
      </c>
      <c r="S360" s="19" t="s">
        <v>1807</v>
      </c>
      <c r="T360" s="19" t="s">
        <v>54</v>
      </c>
      <c r="U360" s="19" t="s">
        <v>55</v>
      </c>
      <c r="V360" s="19" t="s">
        <v>56</v>
      </c>
      <c r="W360" s="19" t="s">
        <v>57</v>
      </c>
      <c r="X360" s="19" t="s">
        <v>58</v>
      </c>
      <c r="Y360" s="19"/>
      <c r="Z360" s="19" t="s">
        <v>1808</v>
      </c>
      <c r="AA360" s="19">
        <v>1</v>
      </c>
      <c r="AB360" s="19">
        <v>1</v>
      </c>
      <c r="AC360" s="19" t="s">
        <v>60</v>
      </c>
      <c r="AD360" s="19" t="s">
        <v>937</v>
      </c>
      <c r="AE360" s="19" t="s">
        <v>1088</v>
      </c>
      <c r="AF360" s="19" t="s">
        <v>1809</v>
      </c>
    </row>
    <row r="361" spans="1:34">
      <c r="A361" s="19">
        <v>352</v>
      </c>
      <c r="B361" s="19" t="s">
        <v>1800</v>
      </c>
      <c r="C361" s="19" t="s">
        <v>689</v>
      </c>
      <c r="D361" s="19" t="str">
        <f>HYPERLINK("http://www.henontech.com/fieldsafety/harzard/harzard_show.php?rid=5446&amp;url=harzardrecs.php","提升机拆除现场铁件杂物混乱，一名施工人员现场从此经过时不慎被铁件绊倒，身体前倾面部着地，鼻骨骨折送医治疗，休养30天。")</f>
        <v>提升机拆除现场铁件杂物混乱，一名施工人员现场从此经过时不慎被铁件绊倒，身体前倾面部着地，鼻骨骨折送医治疗，休养30天。</v>
      </c>
      <c r="E361" s="19" t="s">
        <v>1810</v>
      </c>
      <c r="F361" s="20" t="s">
        <v>42</v>
      </c>
      <c r="G361" s="21" t="s">
        <v>43</v>
      </c>
      <c r="H361" s="19" t="s">
        <v>44</v>
      </c>
      <c r="I361" s="19" t="s">
        <v>83</v>
      </c>
      <c r="J361" s="19" t="s">
        <v>401</v>
      </c>
      <c r="K361" s="19" t="s">
        <v>69</v>
      </c>
      <c r="L361" s="19" t="s">
        <v>48</v>
      </c>
      <c r="M361" s="19" t="s">
        <v>117</v>
      </c>
      <c r="N361" s="19" t="s">
        <v>1811</v>
      </c>
      <c r="O361" s="19" t="s">
        <v>117</v>
      </c>
      <c r="P361" s="19" t="s">
        <v>635</v>
      </c>
      <c r="Q361" s="19" t="s">
        <v>1730</v>
      </c>
      <c r="R361" s="19" t="s">
        <v>1812</v>
      </c>
      <c r="S361" s="19" t="s">
        <v>1813</v>
      </c>
      <c r="T361" s="19" t="s">
        <v>54</v>
      </c>
      <c r="U361" s="19" t="s">
        <v>55</v>
      </c>
      <c r="V361" s="19" t="s">
        <v>56</v>
      </c>
      <c r="W361" s="19" t="s">
        <v>57</v>
      </c>
      <c r="X361" s="19" t="s">
        <v>235</v>
      </c>
      <c r="Y361" s="19"/>
      <c r="Z361" s="19" t="s">
        <v>1814</v>
      </c>
      <c r="AA361" s="19">
        <v>1</v>
      </c>
      <c r="AB361" s="19">
        <v>1</v>
      </c>
      <c r="AC361" s="19" t="s">
        <v>60</v>
      </c>
      <c r="AD361" s="19" t="s">
        <v>635</v>
      </c>
      <c r="AE361" s="19" t="s">
        <v>1088</v>
      </c>
      <c r="AF361" s="19" t="s">
        <v>1815</v>
      </c>
    </row>
    <row r="362" spans="1:34">
      <c r="A362" s="19">
        <v>353</v>
      </c>
      <c r="B362" s="19" t="s">
        <v>1816</v>
      </c>
      <c r="C362" s="19" t="s">
        <v>1090</v>
      </c>
      <c r="D362" s="19" t="str">
        <f>HYPERLINK("http://www.henontech.com/fieldsafety/harzard/harzard_show.php?rid=5540&amp;url=harzardrecs.php","脱硫塔爬梯护栏开焊，假如一名操作工夜间巡检时，安全意识不强，下爬梯时滑倒，造成腿部骨折。")</f>
        <v>脱硫塔爬梯护栏开焊，假如一名操作工夜间巡检时，安全意识不强，下爬梯时滑倒，造成腿部骨折。</v>
      </c>
      <c r="E362" s="19" t="s">
        <v>1817</v>
      </c>
      <c r="F362" s="20" t="s">
        <v>42</v>
      </c>
      <c r="G362" s="21" t="s">
        <v>43</v>
      </c>
      <c r="H362" s="19" t="s">
        <v>44</v>
      </c>
      <c r="I362" s="19" t="s">
        <v>45</v>
      </c>
      <c r="J362" s="19" t="s">
        <v>46</v>
      </c>
      <c r="K362" s="19" t="s">
        <v>69</v>
      </c>
      <c r="L362" s="19"/>
      <c r="M362" s="19" t="s">
        <v>70</v>
      </c>
      <c r="N362" s="19" t="s">
        <v>1818</v>
      </c>
      <c r="O362" s="19" t="s">
        <v>70</v>
      </c>
      <c r="P362" s="19" t="s">
        <v>72</v>
      </c>
      <c r="Q362" s="19" t="s">
        <v>1697</v>
      </c>
      <c r="R362" s="19" t="s">
        <v>1819</v>
      </c>
      <c r="S362" s="19"/>
      <c r="T362" s="19" t="s">
        <v>54</v>
      </c>
      <c r="U362" s="19" t="s">
        <v>55</v>
      </c>
      <c r="V362" s="19" t="s">
        <v>101</v>
      </c>
      <c r="W362" s="19" t="s">
        <v>138</v>
      </c>
      <c r="X362" s="19"/>
      <c r="Y362" s="19"/>
      <c r="Z362" s="19" t="s">
        <v>1820</v>
      </c>
      <c r="AA362" s="19">
        <v>1</v>
      </c>
      <c r="AB362" s="19">
        <v>1</v>
      </c>
      <c r="AC362" s="19" t="s">
        <v>60</v>
      </c>
      <c r="AD362" s="19" t="s">
        <v>72</v>
      </c>
      <c r="AE362" s="19" t="s">
        <v>1202</v>
      </c>
      <c r="AF362" s="19"/>
    </row>
    <row r="363" spans="1:34">
      <c r="A363" s="19">
        <v>354</v>
      </c>
      <c r="B363" s="19" t="s">
        <v>1522</v>
      </c>
      <c r="C363" s="19" t="s">
        <v>549</v>
      </c>
      <c r="D363" s="19" t="str">
        <f>HYPERLINK("http://www.henontech.com/fieldsafety/harzard/harzard_show.php?rid=5660&amp;url=harzardrecs.php","风机二层平台洞口防护踏板固定不牢，倒风机时其他岗位员工来帮忙对现场环境不熟悉，踩到固定不牢的踏板上摔倒。")</f>
        <v>风机二层平台洞口防护踏板固定不牢，倒风机时其他岗位员工来帮忙对现场环境不熟悉，踩到固定不牢的踏板上摔倒。</v>
      </c>
      <c r="E363" s="19" t="s">
        <v>1821</v>
      </c>
      <c r="F363" s="20" t="s">
        <v>42</v>
      </c>
      <c r="G363" s="21" t="s">
        <v>43</v>
      </c>
      <c r="H363" s="19" t="s">
        <v>44</v>
      </c>
      <c r="I363" s="19"/>
      <c r="J363" s="19" t="s">
        <v>46</v>
      </c>
      <c r="K363" s="19" t="s">
        <v>145</v>
      </c>
      <c r="L363" s="19"/>
      <c r="M363" s="19" t="s">
        <v>70</v>
      </c>
      <c r="N363" s="19" t="s">
        <v>71</v>
      </c>
      <c r="O363" s="19" t="s">
        <v>70</v>
      </c>
      <c r="P363" s="19" t="s">
        <v>72</v>
      </c>
      <c r="Q363" s="19" t="s">
        <v>1697</v>
      </c>
      <c r="R363" s="19" t="s">
        <v>1822</v>
      </c>
      <c r="S363" s="19"/>
      <c r="T363" s="19" t="s">
        <v>54</v>
      </c>
      <c r="U363" s="19" t="s">
        <v>75</v>
      </c>
      <c r="V363" s="19" t="s">
        <v>56</v>
      </c>
      <c r="W363" s="19" t="s">
        <v>138</v>
      </c>
      <c r="X363" s="19"/>
      <c r="Y363" s="19"/>
      <c r="Z363" s="19" t="s">
        <v>1823</v>
      </c>
      <c r="AA363" s="19">
        <v>1</v>
      </c>
      <c r="AB363" s="19">
        <v>1</v>
      </c>
      <c r="AC363" s="19" t="s">
        <v>60</v>
      </c>
      <c r="AD363" s="19" t="s">
        <v>72</v>
      </c>
      <c r="AE363" s="19" t="s">
        <v>1202</v>
      </c>
      <c r="AF363" s="19"/>
    </row>
    <row r="364" spans="1:34">
      <c r="A364" s="19">
        <v>355</v>
      </c>
      <c r="B364" s="19" t="s">
        <v>1559</v>
      </c>
      <c r="C364" s="19" t="s">
        <v>1761</v>
      </c>
      <c r="D364" s="19" t="str">
        <f>HYPERLINK("http://www.henontech.com/fieldsafety/harzard/harzard_show.php?rid=5686&amp;url=harzardrecs.php","制氮机空压机电机连接线外壳脱离，电工在进行检维修作业时触电死亡。")</f>
        <v>制氮机空压机电机连接线外壳脱离，电工在进行检维修作业时触电死亡。</v>
      </c>
      <c r="E364" s="19" t="s">
        <v>1824</v>
      </c>
      <c r="F364" s="24" t="s">
        <v>387</v>
      </c>
      <c r="G364" s="21" t="s">
        <v>43</v>
      </c>
      <c r="H364" s="19" t="s">
        <v>44</v>
      </c>
      <c r="I364" s="19" t="s">
        <v>67</v>
      </c>
      <c r="J364" s="19" t="s">
        <v>68</v>
      </c>
      <c r="K364" s="19" t="s">
        <v>47</v>
      </c>
      <c r="L364" s="19"/>
      <c r="M364" s="19" t="s">
        <v>70</v>
      </c>
      <c r="N364" s="19" t="s">
        <v>1825</v>
      </c>
      <c r="O364" s="19"/>
      <c r="P364" s="19"/>
      <c r="Q364" s="19"/>
      <c r="R364" s="19" t="s">
        <v>776</v>
      </c>
      <c r="S364" s="19" t="s">
        <v>1826</v>
      </c>
      <c r="T364" s="19" t="s">
        <v>54</v>
      </c>
      <c r="U364" s="19" t="s">
        <v>121</v>
      </c>
      <c r="V364" s="19" t="s">
        <v>56</v>
      </c>
      <c r="W364" s="19" t="s">
        <v>122</v>
      </c>
      <c r="X364" s="19"/>
      <c r="Y364" s="19"/>
      <c r="Z364" s="19"/>
      <c r="AA364" s="19">
        <v>0</v>
      </c>
      <c r="AB364" s="19"/>
      <c r="AC364" s="19" t="s">
        <v>392</v>
      </c>
      <c r="AD364" s="19"/>
      <c r="AE364" s="19"/>
      <c r="AF364" s="19"/>
    </row>
    <row r="365" spans="1:34">
      <c r="A365" s="19">
        <v>356</v>
      </c>
      <c r="B365" s="19" t="s">
        <v>1522</v>
      </c>
      <c r="C365" s="19" t="s">
        <v>1827</v>
      </c>
      <c r="D365" s="19" t="str">
        <f>HYPERLINK("http://www.henontech.com/fieldsafety/harzard/harzard_show.php?rid=5695&amp;url=harzardrecs.php","污水处理车间生化缺氧池潜水搅拌器电缆老化下雨短路烧焦，造成搅拌器电机损坏，造成经济损失5000元。")</f>
        <v>污水处理车间生化缺氧池潜水搅拌器电缆老化下雨短路烧焦，造成搅拌器电机损坏，造成经济损失5000元。</v>
      </c>
      <c r="E365" s="19" t="s">
        <v>1828</v>
      </c>
      <c r="F365" s="20" t="s">
        <v>42</v>
      </c>
      <c r="G365" s="21" t="s">
        <v>43</v>
      </c>
      <c r="H365" s="19" t="s">
        <v>44</v>
      </c>
      <c r="I365" s="19"/>
      <c r="J365" s="19" t="s">
        <v>68</v>
      </c>
      <c r="K365" s="19" t="s">
        <v>69</v>
      </c>
      <c r="L365" s="19"/>
      <c r="M365" s="19" t="s">
        <v>49</v>
      </c>
      <c r="N365" s="19" t="s">
        <v>1829</v>
      </c>
      <c r="O365" s="19" t="s">
        <v>49</v>
      </c>
      <c r="P365" s="19" t="s">
        <v>523</v>
      </c>
      <c r="Q365" s="19" t="s">
        <v>1830</v>
      </c>
      <c r="R365" s="19" t="s">
        <v>1831</v>
      </c>
      <c r="S365" s="19"/>
      <c r="T365" s="19" t="s">
        <v>100</v>
      </c>
      <c r="U365" s="19" t="s">
        <v>192</v>
      </c>
      <c r="V365" s="19" t="s">
        <v>271</v>
      </c>
      <c r="W365" s="19" t="s">
        <v>77</v>
      </c>
      <c r="X365" s="19" t="s">
        <v>58</v>
      </c>
      <c r="Y365" s="19" t="s">
        <v>58</v>
      </c>
      <c r="Z365" s="19" t="s">
        <v>1832</v>
      </c>
      <c r="AA365" s="19">
        <v>1</v>
      </c>
      <c r="AB365" s="19">
        <v>1</v>
      </c>
      <c r="AC365" s="19" t="s">
        <v>60</v>
      </c>
      <c r="AD365" s="19" t="s">
        <v>523</v>
      </c>
      <c r="AE365" s="19" t="s">
        <v>1132</v>
      </c>
      <c r="AF365" s="19"/>
    </row>
    <row r="366" spans="1:34">
      <c r="A366" s="19">
        <v>357</v>
      </c>
      <c r="B366" s="19" t="s">
        <v>1522</v>
      </c>
      <c r="C366" s="19" t="s">
        <v>1387</v>
      </c>
      <c r="D366" s="19" t="str">
        <f>HYPERLINK("http://www.henontech.com/fieldsafety/harzard/harzard_show.php?rid=5705&amp;url=harzardrecs.php","西硫铵排水沟盖板缺陷，导致夜班操作工巡检时不慎踩空跌落划伤腿部，去医务室包扎处理")</f>
        <v>西硫铵排水沟盖板缺陷，导致夜班操作工巡检时不慎踩空跌落划伤腿部，去医务室包扎处理</v>
      </c>
      <c r="E366" s="19" t="s">
        <v>1833</v>
      </c>
      <c r="F366" s="20" t="s">
        <v>42</v>
      </c>
      <c r="G366" s="21" t="s">
        <v>43</v>
      </c>
      <c r="H366" s="19" t="s">
        <v>44</v>
      </c>
      <c r="I366" s="19" t="s">
        <v>45</v>
      </c>
      <c r="J366" s="19"/>
      <c r="K366" s="19" t="s">
        <v>69</v>
      </c>
      <c r="L366" s="19" t="s">
        <v>48</v>
      </c>
      <c r="M366" s="19" t="s">
        <v>70</v>
      </c>
      <c r="N366" s="19" t="s">
        <v>720</v>
      </c>
      <c r="O366" s="19" t="s">
        <v>70</v>
      </c>
      <c r="P366" s="19" t="s">
        <v>72</v>
      </c>
      <c r="Q366" s="19" t="s">
        <v>1834</v>
      </c>
      <c r="R366" s="19" t="s">
        <v>721</v>
      </c>
      <c r="S366" s="19"/>
      <c r="T366" s="19" t="s">
        <v>54</v>
      </c>
      <c r="U366" s="19" t="s">
        <v>75</v>
      </c>
      <c r="V366" s="19" t="s">
        <v>101</v>
      </c>
      <c r="W366" s="19" t="s">
        <v>77</v>
      </c>
      <c r="X366" s="19"/>
      <c r="Y366" s="19"/>
      <c r="Z366" s="19" t="s">
        <v>733</v>
      </c>
      <c r="AA366" s="19">
        <v>1</v>
      </c>
      <c r="AB366" s="19">
        <v>1</v>
      </c>
      <c r="AC366" s="19" t="s">
        <v>60</v>
      </c>
      <c r="AD366" s="19" t="s">
        <v>72</v>
      </c>
      <c r="AE366" s="19" t="s">
        <v>1202</v>
      </c>
      <c r="AF366" s="19"/>
    </row>
    <row r="367" spans="1:34" customHeight="1" ht="42">
      <c r="A367" s="19">
        <v>358</v>
      </c>
      <c r="B367" s="19" t="s">
        <v>1559</v>
      </c>
      <c r="C367" s="19" t="s">
        <v>195</v>
      </c>
      <c r="D367" s="19" t="str">
        <f>HYPERLINK("http://www.henontech.com/fieldsafety/harzard/harzard_show.php?rid=5737&amp;url=harzardrecs.php","送煤车接煤板框架破裂，一旦框架整体断裂将造成接煤板折断无法接煤造成装置停用停止打饼4个小时")</f>
        <v>送煤车接煤板框架破裂，一旦框架整体断裂将造成接煤板折断无法接煤造成装置停用停止打饼4个小时</v>
      </c>
      <c r="E367" s="19" t="s">
        <v>1835</v>
      </c>
      <c r="F367" s="20" t="s">
        <v>42</v>
      </c>
      <c r="G367" s="21" t="s">
        <v>43</v>
      </c>
      <c r="H367" s="19" t="s">
        <v>44</v>
      </c>
      <c r="I367" s="19" t="s">
        <v>67</v>
      </c>
      <c r="J367" s="19" t="s">
        <v>46</v>
      </c>
      <c r="K367" s="19" t="s">
        <v>69</v>
      </c>
      <c r="L367" s="19" t="s">
        <v>48</v>
      </c>
      <c r="M367" s="19" t="s">
        <v>117</v>
      </c>
      <c r="N367" s="19" t="s">
        <v>1611</v>
      </c>
      <c r="O367" s="19" t="s">
        <v>117</v>
      </c>
      <c r="P367" s="19" t="s">
        <v>224</v>
      </c>
      <c r="Q367" s="19" t="s">
        <v>1707</v>
      </c>
      <c r="R367" s="19" t="s">
        <v>1480</v>
      </c>
      <c r="S367" s="19"/>
      <c r="T367" s="19" t="s">
        <v>100</v>
      </c>
      <c r="U367" s="19" t="s">
        <v>55</v>
      </c>
      <c r="V367" s="19" t="s">
        <v>56</v>
      </c>
      <c r="W367" s="19" t="s">
        <v>57</v>
      </c>
      <c r="X367" s="19" t="s">
        <v>58</v>
      </c>
      <c r="Y367" s="19"/>
      <c r="Z367" s="19" t="s">
        <v>1836</v>
      </c>
      <c r="AA367" s="19">
        <v>2</v>
      </c>
      <c r="AB367" s="19">
        <v>2</v>
      </c>
      <c r="AC367" s="19" t="s">
        <v>60</v>
      </c>
      <c r="AD367" s="19" t="s">
        <v>224</v>
      </c>
      <c r="AE367" s="19" t="s">
        <v>1074</v>
      </c>
      <c r="AF367" s="19"/>
    </row>
    <row r="368" spans="1:34" customHeight="1" ht="42">
      <c r="A368" s="19">
        <v>359</v>
      </c>
      <c r="B368" s="19" t="s">
        <v>1559</v>
      </c>
      <c r="C368" s="19" t="s">
        <v>1497</v>
      </c>
      <c r="D368" s="19" t="str">
        <f>HYPERLINK("http://www.henontech.com/fieldsafety/harzard/harzard_show.php?rid=5769&amp;url=harzardrecs.php","5.5米送煤车托煤板前部有裂痕，假设在打煤饼过程中断裂，无法使用。造成焦炉停产8小时。")</f>
        <v>5.5米送煤车托煤板前部有裂痕，假设在打煤饼过程中断裂，无法使用。造成焦炉停产8小时。</v>
      </c>
      <c r="E368" s="19" t="s">
        <v>1837</v>
      </c>
      <c r="F368" s="20" t="s">
        <v>42</v>
      </c>
      <c r="G368" s="21" t="s">
        <v>43</v>
      </c>
      <c r="H368" s="19" t="s">
        <v>44</v>
      </c>
      <c r="I368" s="19" t="s">
        <v>67</v>
      </c>
      <c r="J368" s="19" t="s">
        <v>46</v>
      </c>
      <c r="K368" s="19" t="s">
        <v>209</v>
      </c>
      <c r="L368" s="19"/>
      <c r="M368" s="19" t="s">
        <v>117</v>
      </c>
      <c r="N368" s="19" t="s">
        <v>1625</v>
      </c>
      <c r="O368" s="19" t="s">
        <v>117</v>
      </c>
      <c r="P368" s="19" t="s">
        <v>224</v>
      </c>
      <c r="Q368" s="19" t="s">
        <v>1707</v>
      </c>
      <c r="R368" s="19" t="s">
        <v>1633</v>
      </c>
      <c r="S368" s="19"/>
      <c r="T368" s="19" t="s">
        <v>100</v>
      </c>
      <c r="U368" s="19" t="s">
        <v>121</v>
      </c>
      <c r="V368" s="19" t="s">
        <v>56</v>
      </c>
      <c r="W368" s="19" t="s">
        <v>122</v>
      </c>
      <c r="X368" s="19" t="s">
        <v>58</v>
      </c>
      <c r="Y368" s="19"/>
      <c r="Z368" s="19" t="s">
        <v>1838</v>
      </c>
      <c r="AA368" s="19">
        <v>2</v>
      </c>
      <c r="AB368" s="19">
        <v>2</v>
      </c>
      <c r="AC368" s="19" t="s">
        <v>60</v>
      </c>
      <c r="AD368" s="19" t="s">
        <v>224</v>
      </c>
      <c r="AE368" s="19" t="s">
        <v>1074</v>
      </c>
      <c r="AF368" s="19"/>
    </row>
    <row r="369" spans="1:34" customHeight="1" ht="42">
      <c r="A369" s="19">
        <v>360</v>
      </c>
      <c r="B369" s="19" t="s">
        <v>1697</v>
      </c>
      <c r="C369" s="19" t="s">
        <v>485</v>
      </c>
      <c r="D369" s="19" t="str">
        <f>HYPERLINK("http://www.henontech.com/fieldsafety/harzard/harzard_show.php?rid=5866&amp;url=harzardrecs.php","5.5米炉顶导烟车油站电磁阀电线连电冒火，一旦引燃油站，导致火灾，造成导烟车无法使用，损失财产五万元。烧坏设备，")</f>
        <v>5.5米炉顶导烟车油站电磁阀电线连电冒火，一旦引燃油站，导致火灾，造成导烟车无法使用，损失财产五万元。烧坏设备，</v>
      </c>
      <c r="E369" s="19" t="s">
        <v>1839</v>
      </c>
      <c r="F369" s="20" t="s">
        <v>42</v>
      </c>
      <c r="G369" s="21" t="s">
        <v>43</v>
      </c>
      <c r="H369" s="19" t="s">
        <v>44</v>
      </c>
      <c r="I369" s="19" t="s">
        <v>67</v>
      </c>
      <c r="J369" s="19" t="s">
        <v>401</v>
      </c>
      <c r="K369" s="19" t="s">
        <v>47</v>
      </c>
      <c r="L369" s="19" t="s">
        <v>48</v>
      </c>
      <c r="M369" s="19" t="s">
        <v>117</v>
      </c>
      <c r="N369" s="19" t="s">
        <v>389</v>
      </c>
      <c r="O369" s="19" t="s">
        <v>117</v>
      </c>
      <c r="P369" s="19" t="s">
        <v>224</v>
      </c>
      <c r="Q369" s="19" t="s">
        <v>1707</v>
      </c>
      <c r="R369" s="19" t="s">
        <v>1840</v>
      </c>
      <c r="S369" s="19"/>
      <c r="T369" s="19" t="s">
        <v>100</v>
      </c>
      <c r="U369" s="19" t="s">
        <v>75</v>
      </c>
      <c r="V369" s="19" t="s">
        <v>271</v>
      </c>
      <c r="W369" s="19" t="s">
        <v>57</v>
      </c>
      <c r="X369" s="19" t="s">
        <v>123</v>
      </c>
      <c r="Y369" s="19"/>
      <c r="Z369" s="19" t="s">
        <v>1841</v>
      </c>
      <c r="AA369" s="19">
        <v>2</v>
      </c>
      <c r="AB369" s="19">
        <v>2</v>
      </c>
      <c r="AC369" s="19" t="s">
        <v>60</v>
      </c>
      <c r="AD369" s="19" t="s">
        <v>224</v>
      </c>
      <c r="AE369" s="19" t="s">
        <v>1074</v>
      </c>
      <c r="AF369" s="19"/>
    </row>
    <row r="370" spans="1:34" customHeight="1" ht="42">
      <c r="A370" s="19">
        <v>361</v>
      </c>
      <c r="B370" s="19" t="s">
        <v>1697</v>
      </c>
      <c r="C370" s="19" t="s">
        <v>1842</v>
      </c>
      <c r="D370" s="19" t="str">
        <f>HYPERLINK("http://www.henontech.com/fieldsafety/harzard/harzard_show.php?rid=5873&amp;url=harzardrecs.php","4#捣固机大架子焊缝开裂，由于振动大，一旦大架子开焊，导致捣固机不能正常工作，检修停工1小时，撇焦3孔，造成经济损失约20万元。")</f>
        <v>4#捣固机大架子焊缝开裂，由于振动大，一旦大架子开焊，导致捣固机不能正常工作，检修停工1小时，撇焦3孔，造成经济损失约20万元。</v>
      </c>
      <c r="E370" s="19" t="s">
        <v>1843</v>
      </c>
      <c r="F370" s="20" t="s">
        <v>42</v>
      </c>
      <c r="G370" s="21" t="s">
        <v>43</v>
      </c>
      <c r="H370" s="19" t="s">
        <v>44</v>
      </c>
      <c r="I370" s="19"/>
      <c r="J370" s="19" t="s">
        <v>46</v>
      </c>
      <c r="K370" s="19"/>
      <c r="L370" s="19"/>
      <c r="M370" s="19" t="s">
        <v>117</v>
      </c>
      <c r="N370" s="19" t="s">
        <v>1420</v>
      </c>
      <c r="O370" s="19" t="s">
        <v>117</v>
      </c>
      <c r="P370" s="19" t="s">
        <v>224</v>
      </c>
      <c r="Q370" s="19" t="s">
        <v>1707</v>
      </c>
      <c r="R370" s="19" t="s">
        <v>1844</v>
      </c>
      <c r="S370" s="19"/>
      <c r="T370" s="19" t="s">
        <v>100</v>
      </c>
      <c r="U370" s="19" t="s">
        <v>192</v>
      </c>
      <c r="V370" s="19" t="s">
        <v>56</v>
      </c>
      <c r="W370" s="19" t="s">
        <v>77</v>
      </c>
      <c r="X370" s="19" t="s">
        <v>58</v>
      </c>
      <c r="Y370" s="19"/>
      <c r="Z370" s="19" t="s">
        <v>1845</v>
      </c>
      <c r="AA370" s="19">
        <v>2</v>
      </c>
      <c r="AB370" s="19">
        <v>2</v>
      </c>
      <c r="AC370" s="19" t="s">
        <v>60</v>
      </c>
      <c r="AD370" s="19" t="s">
        <v>224</v>
      </c>
      <c r="AE370" s="19" t="s">
        <v>1074</v>
      </c>
      <c r="AF370" s="19"/>
    </row>
    <row r="371" spans="1:34">
      <c r="A371" s="19">
        <v>362</v>
      </c>
      <c r="B371" s="19" t="s">
        <v>1697</v>
      </c>
      <c r="C371" s="19" t="s">
        <v>1700</v>
      </c>
      <c r="D371" s="19" t="str">
        <f>HYPERLINK("http://www.henontech.com/fieldsafety/harzard/harzard_show.php?rid=5884&amp;url=harzardrecs.php","两盐出料泵电机未设接地线，可能会造成因电机漏电导致，一名操作工因风险源辨识不足，在擦拭电机过程中触电")</f>
        <v>两盐出料泵电机未设接地线，可能会造成因电机漏电导致，一名操作工因风险源辨识不足，在擦拭电机过程中触电</v>
      </c>
      <c r="E371" s="19" t="s">
        <v>1846</v>
      </c>
      <c r="F371" s="20" t="s">
        <v>42</v>
      </c>
      <c r="G371" s="22" t="s">
        <v>66</v>
      </c>
      <c r="H371" s="19" t="s">
        <v>44</v>
      </c>
      <c r="I371" s="19" t="s">
        <v>45</v>
      </c>
      <c r="J371" s="19" t="s">
        <v>202</v>
      </c>
      <c r="K371" s="19" t="s">
        <v>145</v>
      </c>
      <c r="L371" s="19" t="s">
        <v>48</v>
      </c>
      <c r="M371" s="19" t="s">
        <v>70</v>
      </c>
      <c r="N371" s="19" t="s">
        <v>1847</v>
      </c>
      <c r="O371" s="19" t="s">
        <v>70</v>
      </c>
      <c r="P371" s="19" t="s">
        <v>72</v>
      </c>
      <c r="Q371" s="19" t="s">
        <v>1848</v>
      </c>
      <c r="R371" s="19" t="s">
        <v>1849</v>
      </c>
      <c r="S371" s="19"/>
      <c r="T371" s="19" t="s">
        <v>54</v>
      </c>
      <c r="U371" s="19" t="s">
        <v>121</v>
      </c>
      <c r="V371" s="19" t="s">
        <v>76</v>
      </c>
      <c r="W371" s="19" t="s">
        <v>138</v>
      </c>
      <c r="X371" s="19"/>
      <c r="Y371" s="19"/>
      <c r="Z371" s="19" t="s">
        <v>1850</v>
      </c>
      <c r="AA371" s="19">
        <v>1</v>
      </c>
      <c r="AB371" s="19">
        <v>1</v>
      </c>
      <c r="AC371" s="19" t="s">
        <v>60</v>
      </c>
      <c r="AD371" s="19" t="s">
        <v>72</v>
      </c>
      <c r="AE371" s="19" t="s">
        <v>1202</v>
      </c>
      <c r="AF371" s="19"/>
    </row>
    <row r="372" spans="1:34" customHeight="1" ht="42">
      <c r="A372" s="19">
        <v>363</v>
      </c>
      <c r="B372" s="19" t="s">
        <v>1851</v>
      </c>
      <c r="C372" s="19" t="s">
        <v>1852</v>
      </c>
      <c r="D372" s="19" t="str">
        <f>HYPERLINK("http://www.henontech.com/fieldsafety/harzard/harzard_show.php?rid=5950&amp;url=harzardrecs.php","一工人经过机侧通廊时，通廊顶部混凝土恰巧大面积脱落砸中其身上，安全帽没有承受住压力导致破裂后混凝土直接砸到他头上导致当场昏迷不醒，现场救援无果后医院人员鉴定其瞳孔放大确定死亡。")</f>
        <v>一工人经过机侧通廊时，通廊顶部混凝土恰巧大面积脱落砸中其身上，安全帽没有承受住压力导致破裂后混凝土直接砸到他头上导致当场昏迷不醒，现场救援无果后医院人员鉴定其瞳孔放大确定死亡。</v>
      </c>
      <c r="E372" s="19" t="s">
        <v>920</v>
      </c>
      <c r="F372" s="25" t="s">
        <v>1853</v>
      </c>
      <c r="G372" s="22" t="s">
        <v>66</v>
      </c>
      <c r="H372" s="19" t="s">
        <v>44</v>
      </c>
      <c r="I372" s="19" t="s">
        <v>67</v>
      </c>
      <c r="J372" s="19" t="s">
        <v>334</v>
      </c>
      <c r="K372" s="19" t="s">
        <v>145</v>
      </c>
      <c r="L372" s="19" t="s">
        <v>573</v>
      </c>
      <c r="M372" s="19" t="s">
        <v>117</v>
      </c>
      <c r="N372" s="19" t="s">
        <v>1449</v>
      </c>
      <c r="O372" s="19" t="s">
        <v>117</v>
      </c>
      <c r="P372" s="19" t="s">
        <v>287</v>
      </c>
      <c r="Q372" s="19" t="s">
        <v>1854</v>
      </c>
      <c r="R372" s="19" t="s">
        <v>1855</v>
      </c>
      <c r="S372" s="19"/>
      <c r="T372" s="19" t="s">
        <v>54</v>
      </c>
      <c r="U372" s="19" t="s">
        <v>55</v>
      </c>
      <c r="V372" s="19" t="s">
        <v>56</v>
      </c>
      <c r="W372" s="19" t="s">
        <v>57</v>
      </c>
      <c r="X372" s="19" t="s">
        <v>123</v>
      </c>
      <c r="Y372" s="19"/>
      <c r="Z372" s="19" t="s">
        <v>1856</v>
      </c>
      <c r="AA372" s="19">
        <v>2</v>
      </c>
      <c r="AB372" s="19"/>
      <c r="AC372" s="19" t="s">
        <v>392</v>
      </c>
      <c r="AD372" s="19"/>
      <c r="AE372" s="19"/>
      <c r="AF372" s="19"/>
    </row>
    <row r="373" spans="1:34" customHeight="1" ht="42">
      <c r="A373" s="19">
        <v>364</v>
      </c>
      <c r="B373" s="19" t="s">
        <v>1857</v>
      </c>
      <c r="C373" s="19" t="s">
        <v>1858</v>
      </c>
      <c r="D373" s="19" t="str">
        <f>HYPERLINK("http://www.henontech.com/fieldsafety/harzard/harzard_show.php?rid=6038&amp;url=harzardrecs.php","一维修工站在检修窗口处用悬臂吊吊装工具时，脚底打滑重心不稳，从离地面15米高的窗口意外坠落")</f>
        <v>一维修工站在检修窗口处用悬臂吊吊装工具时，脚底打滑重心不稳，从离地面15米高的窗口意外坠落</v>
      </c>
      <c r="E373" s="19" t="s">
        <v>1439</v>
      </c>
      <c r="F373" s="20" t="s">
        <v>42</v>
      </c>
      <c r="G373" s="21" t="s">
        <v>43</v>
      </c>
      <c r="H373" s="19" t="s">
        <v>44</v>
      </c>
      <c r="I373" s="19" t="s">
        <v>67</v>
      </c>
      <c r="J373" s="19" t="s">
        <v>68</v>
      </c>
      <c r="K373" s="19" t="s">
        <v>209</v>
      </c>
      <c r="L373" s="19"/>
      <c r="M373" s="19" t="s">
        <v>117</v>
      </c>
      <c r="N373" s="19" t="s">
        <v>1440</v>
      </c>
      <c r="O373" s="19" t="s">
        <v>117</v>
      </c>
      <c r="P373" s="19" t="s">
        <v>224</v>
      </c>
      <c r="Q373" s="19" t="s">
        <v>1859</v>
      </c>
      <c r="R373" s="19" t="s">
        <v>1860</v>
      </c>
      <c r="S373" s="19"/>
      <c r="T373" s="19" t="s">
        <v>54</v>
      </c>
      <c r="U373" s="19" t="s">
        <v>121</v>
      </c>
      <c r="V373" s="19" t="s">
        <v>56</v>
      </c>
      <c r="W373" s="19" t="s">
        <v>122</v>
      </c>
      <c r="X373" s="19" t="s">
        <v>123</v>
      </c>
      <c r="Y373" s="19"/>
      <c r="Z373" s="19" t="s">
        <v>1861</v>
      </c>
      <c r="AA373" s="19">
        <v>2</v>
      </c>
      <c r="AB373" s="19">
        <v>2</v>
      </c>
      <c r="AC373" s="19" t="s">
        <v>60</v>
      </c>
      <c r="AD373" s="19" t="s">
        <v>224</v>
      </c>
      <c r="AE373" s="19" t="s">
        <v>1080</v>
      </c>
      <c r="AF373" s="19"/>
    </row>
    <row r="374" spans="1:34" customHeight="1" ht="42">
      <c r="A374" s="19">
        <v>365</v>
      </c>
      <c r="B374" s="19" t="s">
        <v>1862</v>
      </c>
      <c r="C374" s="19" t="s">
        <v>485</v>
      </c>
      <c r="D374" s="19" t="str">
        <f>HYPERLINK("http://www.henontech.com/fieldsafety/harzard/harzard_show.php?rid=6074&amp;url=harzardrecs.php","炉顶导烟车因做导烟效果试验，加装备用导套，在试验完后没及时拆除，因用两条倒链吊着，在行走过程中不慎掉落，操作工上前查看时被备用导套斜倒砸伤腿部，及时送医院救治。")</f>
        <v>炉顶导烟车因做导烟效果试验，加装备用导套，在试验完后没及时拆除，因用两条倒链吊着，在行走过程中不慎掉落，操作工上前查看时被备用导套斜倒砸伤腿部，及时送医院救治。</v>
      </c>
      <c r="E374" s="19" t="s">
        <v>1863</v>
      </c>
      <c r="F374" s="20" t="s">
        <v>42</v>
      </c>
      <c r="G374" s="21" t="s">
        <v>43</v>
      </c>
      <c r="H374" s="19" t="s">
        <v>44</v>
      </c>
      <c r="I374" s="19" t="s">
        <v>67</v>
      </c>
      <c r="J374" s="19" t="s">
        <v>46</v>
      </c>
      <c r="K374" s="19"/>
      <c r="L374" s="19"/>
      <c r="M374" s="19" t="s">
        <v>117</v>
      </c>
      <c r="N374" s="19" t="s">
        <v>1453</v>
      </c>
      <c r="O374" s="19" t="s">
        <v>117</v>
      </c>
      <c r="P374" s="19" t="s">
        <v>224</v>
      </c>
      <c r="Q374" s="19" t="s">
        <v>1859</v>
      </c>
      <c r="R374" s="19" t="s">
        <v>1840</v>
      </c>
      <c r="S374" s="19"/>
      <c r="T374" s="19" t="s">
        <v>54</v>
      </c>
      <c r="U374" s="19" t="s">
        <v>55</v>
      </c>
      <c r="V374" s="19" t="s">
        <v>271</v>
      </c>
      <c r="W374" s="19" t="s">
        <v>122</v>
      </c>
      <c r="X374" s="19" t="s">
        <v>123</v>
      </c>
      <c r="Y374" s="19"/>
      <c r="Z374" s="19" t="s">
        <v>1864</v>
      </c>
      <c r="AA374" s="19">
        <v>2</v>
      </c>
      <c r="AB374" s="19">
        <v>2</v>
      </c>
      <c r="AC374" s="19" t="s">
        <v>60</v>
      </c>
      <c r="AD374" s="19" t="s">
        <v>224</v>
      </c>
      <c r="AE374" s="19" t="s">
        <v>1074</v>
      </c>
      <c r="AF374" s="19"/>
    </row>
    <row r="375" spans="1:34">
      <c r="A375" s="19">
        <v>366</v>
      </c>
      <c r="B375" s="19" t="s">
        <v>1862</v>
      </c>
      <c r="C375" s="19" t="s">
        <v>186</v>
      </c>
      <c r="D375" s="19" t="str">
        <f>HYPERLINK("http://www.henontech.com/fieldsafety/harzard/harzard_show.php?rid=6076&amp;url=harzardrecs.php","碳化三楼碳化管线压力表指针脱落失灵，操作工操作过程中及时发现，若未及时发现工艺超标影响生产。")</f>
        <v>碳化三楼碳化管线压力表指针脱落失灵，操作工操作过程中及时发现，若未及时发现工艺超标影响生产。</v>
      </c>
      <c r="E375" s="19" t="s">
        <v>1865</v>
      </c>
      <c r="F375" s="20" t="s">
        <v>42</v>
      </c>
      <c r="G375" s="21" t="s">
        <v>43</v>
      </c>
      <c r="H375" s="19" t="s">
        <v>44</v>
      </c>
      <c r="I375" s="19"/>
      <c r="J375" s="19" t="s">
        <v>46</v>
      </c>
      <c r="K375" s="19" t="s">
        <v>69</v>
      </c>
      <c r="L375" s="19"/>
      <c r="M375" s="19" t="s">
        <v>70</v>
      </c>
      <c r="N375" s="19" t="s">
        <v>1771</v>
      </c>
      <c r="O375" s="19" t="s">
        <v>96</v>
      </c>
      <c r="P375" s="19" t="s">
        <v>217</v>
      </c>
      <c r="Q375" s="19" t="s">
        <v>1409</v>
      </c>
      <c r="R375" s="19" t="s">
        <v>342</v>
      </c>
      <c r="S375" s="19"/>
      <c r="T375" s="19" t="s">
        <v>100</v>
      </c>
      <c r="U375" s="19" t="s">
        <v>192</v>
      </c>
      <c r="V375" s="19" t="s">
        <v>56</v>
      </c>
      <c r="W375" s="19" t="s">
        <v>77</v>
      </c>
      <c r="X375" s="19" t="s">
        <v>235</v>
      </c>
      <c r="Y375" s="19" t="s">
        <v>235</v>
      </c>
      <c r="Z375" s="19" t="s">
        <v>1866</v>
      </c>
      <c r="AA375" s="19">
        <v>1</v>
      </c>
      <c r="AB375" s="19">
        <v>1</v>
      </c>
      <c r="AC375" s="19" t="s">
        <v>60</v>
      </c>
      <c r="AD375" s="19" t="s">
        <v>217</v>
      </c>
      <c r="AE375" s="19" t="s">
        <v>1139</v>
      </c>
      <c r="AF375" s="19" t="s">
        <v>1867</v>
      </c>
    </row>
    <row r="376" spans="1:34" customHeight="1" ht="42">
      <c r="A376" s="19">
        <v>367</v>
      </c>
      <c r="B376" s="19" t="s">
        <v>1868</v>
      </c>
      <c r="C376" s="19" t="s">
        <v>485</v>
      </c>
      <c r="D376" s="19" t="str">
        <f>HYPERLINK("http://www.henontech.com/fieldsafety/harzard/harzard_show.php?rid=6277&amp;url=harzardrecs.php","5.5米焦炉炉顶南端轴流风扇上违规放置槽钢，假如夜间一名职工巡检时不慎被绊倒，造成右手臂骨折")</f>
        <v>5.5米焦炉炉顶南端轴流风扇上违规放置槽钢，假如夜间一名职工巡检时不慎被绊倒，造成右手臂骨折</v>
      </c>
      <c r="E376" s="19" t="s">
        <v>1869</v>
      </c>
      <c r="F376" s="20" t="s">
        <v>42</v>
      </c>
      <c r="G376" s="21" t="s">
        <v>43</v>
      </c>
      <c r="H376" s="19" t="s">
        <v>44</v>
      </c>
      <c r="I376" s="19" t="s">
        <v>67</v>
      </c>
      <c r="J376" s="19" t="s">
        <v>401</v>
      </c>
      <c r="K376" s="19" t="s">
        <v>47</v>
      </c>
      <c r="L376" s="19" t="s">
        <v>48</v>
      </c>
      <c r="M376" s="19" t="s">
        <v>117</v>
      </c>
      <c r="N376" s="19" t="s">
        <v>1235</v>
      </c>
      <c r="O376" s="19" t="s">
        <v>117</v>
      </c>
      <c r="P376" s="19" t="s">
        <v>1198</v>
      </c>
      <c r="Q376" s="19" t="s">
        <v>1859</v>
      </c>
      <c r="R376" s="19" t="s">
        <v>1870</v>
      </c>
      <c r="S376" s="19"/>
      <c r="T376" s="19" t="s">
        <v>54</v>
      </c>
      <c r="U376" s="19" t="s">
        <v>55</v>
      </c>
      <c r="V376" s="19" t="s">
        <v>56</v>
      </c>
      <c r="W376" s="19" t="s">
        <v>57</v>
      </c>
      <c r="X376" s="19" t="s">
        <v>123</v>
      </c>
      <c r="Y376" s="19"/>
      <c r="Z376" s="19" t="s">
        <v>1871</v>
      </c>
      <c r="AA376" s="19">
        <v>2</v>
      </c>
      <c r="AB376" s="19">
        <v>2</v>
      </c>
      <c r="AC376" s="19" t="s">
        <v>60</v>
      </c>
      <c r="AD376" s="19" t="s">
        <v>1198</v>
      </c>
      <c r="AE376" s="19" t="s">
        <v>1202</v>
      </c>
      <c r="AF376" s="19"/>
    </row>
    <row r="377" spans="1:34" customHeight="1" ht="42">
      <c r="A377" s="19">
        <v>368</v>
      </c>
      <c r="B377" s="19" t="s">
        <v>1868</v>
      </c>
      <c r="C377" s="19" t="s">
        <v>195</v>
      </c>
      <c r="D377" s="19" t="str">
        <f>HYPERLINK("http://www.henontech.com/fieldsafety/harzard/harzard_show.php?rid=6278&amp;url=harzardrecs.php","捣固锤保险钩变形起不到保险作用，在送煤车去送煤期间若捣固锤掉落，砸中下面打扫卫生的职工头部，送医医治无效死亡。")</f>
        <v>捣固锤保险钩变形起不到保险作用，在送煤车去送煤期间若捣固锤掉落，砸中下面打扫卫生的职工头部，送医医治无效死亡。</v>
      </c>
      <c r="E377" s="19" t="s">
        <v>1872</v>
      </c>
      <c r="F377" s="20" t="s">
        <v>42</v>
      </c>
      <c r="G377" s="22" t="s">
        <v>66</v>
      </c>
      <c r="H377" s="19" t="s">
        <v>44</v>
      </c>
      <c r="I377" s="19" t="s">
        <v>67</v>
      </c>
      <c r="J377" s="19" t="s">
        <v>46</v>
      </c>
      <c r="K377" s="19" t="s">
        <v>209</v>
      </c>
      <c r="L377" s="19" t="s">
        <v>48</v>
      </c>
      <c r="M377" s="19" t="s">
        <v>117</v>
      </c>
      <c r="N377" s="19" t="s">
        <v>232</v>
      </c>
      <c r="O377" s="19" t="s">
        <v>117</v>
      </c>
      <c r="P377" s="19" t="s">
        <v>224</v>
      </c>
      <c r="Q377" s="19" t="s">
        <v>1859</v>
      </c>
      <c r="R377" s="19" t="s">
        <v>1873</v>
      </c>
      <c r="S377" s="19"/>
      <c r="T377" s="19" t="s">
        <v>54</v>
      </c>
      <c r="U377" s="19" t="s">
        <v>121</v>
      </c>
      <c r="V377" s="19" t="s">
        <v>56</v>
      </c>
      <c r="W377" s="19" t="s">
        <v>122</v>
      </c>
      <c r="X377" s="19" t="s">
        <v>58</v>
      </c>
      <c r="Y377" s="19"/>
      <c r="Z377" s="19" t="s">
        <v>1874</v>
      </c>
      <c r="AA377" s="19">
        <v>2</v>
      </c>
      <c r="AB377" s="19">
        <v>2</v>
      </c>
      <c r="AC377" s="19" t="s">
        <v>60</v>
      </c>
      <c r="AD377" s="19" t="s">
        <v>224</v>
      </c>
      <c r="AE377" s="19" t="s">
        <v>1074</v>
      </c>
      <c r="AF377" s="19"/>
    </row>
    <row r="378" spans="1:34" customHeight="1" ht="42">
      <c r="A378" s="19">
        <v>369</v>
      </c>
      <c r="B378" s="19" t="s">
        <v>1868</v>
      </c>
      <c r="C378" s="19" t="s">
        <v>1250</v>
      </c>
      <c r="D378" s="19" t="str">
        <f>HYPERLINK("http://www.henontech.com/fieldsafety/harzard/harzard_show.php?rid=6319&amp;url=harzardrecs.php","推焦车一层操作平台西北角处，平台铺板腐蚀严重，一操作工巡检经过时，不慎跌落右腿受伤，随即送医，经诊疗为右小腿骨折加皮肉划伤，住院治疗1月，回家休养2个月。")</f>
        <v>推焦车一层操作平台西北角处，平台铺板腐蚀严重，一操作工巡检经过时，不慎跌落右腿受伤，随即送医，经诊疗为右小腿骨折加皮肉划伤，住院治疗1月，回家休养2个月。</v>
      </c>
      <c r="E378" s="19" t="s">
        <v>1875</v>
      </c>
      <c r="F378" s="20" t="s">
        <v>42</v>
      </c>
      <c r="G378" s="21" t="s">
        <v>43</v>
      </c>
      <c r="H378" s="19" t="s">
        <v>44</v>
      </c>
      <c r="I378" s="19" t="s">
        <v>67</v>
      </c>
      <c r="J378" s="19" t="s">
        <v>46</v>
      </c>
      <c r="K378" s="19" t="s">
        <v>69</v>
      </c>
      <c r="L378" s="19" t="s">
        <v>48</v>
      </c>
      <c r="M378" s="19" t="s">
        <v>117</v>
      </c>
      <c r="N378" s="19" t="s">
        <v>739</v>
      </c>
      <c r="O378" s="19" t="s">
        <v>117</v>
      </c>
      <c r="P378" s="19" t="s">
        <v>1198</v>
      </c>
      <c r="Q378" s="19" t="s">
        <v>1876</v>
      </c>
      <c r="R378" s="19" t="s">
        <v>1502</v>
      </c>
      <c r="S378" s="19"/>
      <c r="T378" s="19" t="s">
        <v>54</v>
      </c>
      <c r="U378" s="19" t="s">
        <v>55</v>
      </c>
      <c r="V378" s="19" t="s">
        <v>56</v>
      </c>
      <c r="W378" s="19" t="s">
        <v>57</v>
      </c>
      <c r="X378" s="19" t="s">
        <v>58</v>
      </c>
      <c r="Y378" s="19"/>
      <c r="Z378" s="19" t="s">
        <v>1877</v>
      </c>
      <c r="AA378" s="19">
        <v>2</v>
      </c>
      <c r="AB378" s="19">
        <v>2</v>
      </c>
      <c r="AC378" s="19" t="s">
        <v>60</v>
      </c>
      <c r="AD378" s="19" t="s">
        <v>1198</v>
      </c>
      <c r="AE378" s="19" t="s">
        <v>1322</v>
      </c>
      <c r="AF378" s="19"/>
    </row>
    <row r="379" spans="1:34" customHeight="1" ht="42">
      <c r="A379" s="19">
        <v>370</v>
      </c>
      <c r="B379" s="19" t="s">
        <v>1656</v>
      </c>
      <c r="C379" s="19" t="s">
        <v>1291</v>
      </c>
      <c r="D379" s="19" t="str">
        <f>HYPERLINK("http://www.henontech.com/fieldsafety/harzard/harzard_show.php?rid=6351&amp;url=harzardrecs.php","送煤洒水阀门距离炭化室送煤口太近，假如送煤时操作工去开启洒水阀门时，突然高压氨水无压力送煤时的火从炭化室口喷出烧伤操作工的面部。")</f>
        <v>送煤洒水阀门距离炭化室送煤口太近，假如送煤时操作工去开启洒水阀门时，突然高压氨水无压力送煤时的火从炭化室口喷出烧伤操作工的面部。</v>
      </c>
      <c r="E379" s="19" t="s">
        <v>1878</v>
      </c>
      <c r="F379" s="20" t="s">
        <v>42</v>
      </c>
      <c r="G379" s="21" t="s">
        <v>43</v>
      </c>
      <c r="H379" s="19" t="s">
        <v>44</v>
      </c>
      <c r="I379" s="19" t="s">
        <v>45</v>
      </c>
      <c r="J379" s="19" t="s">
        <v>46</v>
      </c>
      <c r="K379" s="19" t="s">
        <v>47</v>
      </c>
      <c r="L379" s="19" t="s">
        <v>48</v>
      </c>
      <c r="M379" s="19" t="s">
        <v>117</v>
      </c>
      <c r="N379" s="19" t="s">
        <v>1879</v>
      </c>
      <c r="O379" s="19" t="s">
        <v>117</v>
      </c>
      <c r="P379" s="19" t="s">
        <v>224</v>
      </c>
      <c r="Q379" s="19" t="s">
        <v>1876</v>
      </c>
      <c r="R379" s="19" t="s">
        <v>1480</v>
      </c>
      <c r="S379" s="19"/>
      <c r="T379" s="19" t="s">
        <v>54</v>
      </c>
      <c r="U379" s="19" t="s">
        <v>55</v>
      </c>
      <c r="V379" s="19" t="s">
        <v>56</v>
      </c>
      <c r="W379" s="19" t="s">
        <v>57</v>
      </c>
      <c r="X379" s="19" t="s">
        <v>123</v>
      </c>
      <c r="Y379" s="19"/>
      <c r="Z379" s="19" t="s">
        <v>1880</v>
      </c>
      <c r="AA379" s="19">
        <v>2</v>
      </c>
      <c r="AB379" s="19">
        <v>2</v>
      </c>
      <c r="AC379" s="19" t="s">
        <v>60</v>
      </c>
      <c r="AD379" s="19" t="s">
        <v>224</v>
      </c>
      <c r="AE379" s="19" t="s">
        <v>1074</v>
      </c>
      <c r="AF379" s="19"/>
    </row>
    <row r="380" spans="1:34" customHeight="1" ht="42">
      <c r="A380" s="19">
        <v>371</v>
      </c>
      <c r="B380" s="19" t="s">
        <v>1656</v>
      </c>
      <c r="C380" s="19" t="s">
        <v>485</v>
      </c>
      <c r="D380" s="19" t="str">
        <f>HYPERLINK("http://www.henontech.com/fieldsafety/harzard/harzard_show.php?rid=6358&amp;url=harzardrecs.php","一名操作工，在高3米的二层平台巡检时，不慎脚底打滑，从开焊处坠落至地面，右手臂触地")</f>
        <v>一名操作工，在高3米的二层平台巡检时，不慎脚底打滑，从开焊处坠落至地面，右手臂触地</v>
      </c>
      <c r="E380" s="19" t="s">
        <v>1881</v>
      </c>
      <c r="F380" s="20" t="s">
        <v>42</v>
      </c>
      <c r="G380" s="21" t="s">
        <v>43</v>
      </c>
      <c r="H380" s="19" t="s">
        <v>44</v>
      </c>
      <c r="I380" s="19" t="s">
        <v>45</v>
      </c>
      <c r="J380" s="19" t="s">
        <v>46</v>
      </c>
      <c r="K380" s="19" t="s">
        <v>166</v>
      </c>
      <c r="L380" s="19" t="s">
        <v>48</v>
      </c>
      <c r="M380" s="19" t="s">
        <v>117</v>
      </c>
      <c r="N380" s="19" t="s">
        <v>1084</v>
      </c>
      <c r="O380" s="19" t="s">
        <v>117</v>
      </c>
      <c r="P380" s="19" t="s">
        <v>224</v>
      </c>
      <c r="Q380" s="19" t="s">
        <v>1876</v>
      </c>
      <c r="R380" s="19" t="s">
        <v>1882</v>
      </c>
      <c r="S380" s="19"/>
      <c r="T380" s="19" t="s">
        <v>54</v>
      </c>
      <c r="U380" s="19" t="s">
        <v>55</v>
      </c>
      <c r="V380" s="19" t="s">
        <v>56</v>
      </c>
      <c r="W380" s="19" t="s">
        <v>57</v>
      </c>
      <c r="X380" s="19" t="s">
        <v>58</v>
      </c>
      <c r="Y380" s="19"/>
      <c r="Z380" s="19" t="s">
        <v>1883</v>
      </c>
      <c r="AA380" s="19">
        <v>2</v>
      </c>
      <c r="AB380" s="19">
        <v>2</v>
      </c>
      <c r="AC380" s="19" t="s">
        <v>60</v>
      </c>
      <c r="AD380" s="19" t="s">
        <v>224</v>
      </c>
      <c r="AE380" s="19" t="s">
        <v>1074</v>
      </c>
      <c r="AF380" s="19"/>
    </row>
    <row r="381" spans="1:34" customHeight="1" ht="42">
      <c r="A381" s="19">
        <v>372</v>
      </c>
      <c r="B381" s="19" t="s">
        <v>1241</v>
      </c>
      <c r="C381" s="19" t="s">
        <v>1118</v>
      </c>
      <c r="D381" s="19" t="str">
        <f>HYPERLINK("http://www.henontech.com/fieldsafety/harzard/harzard_show.php?rid=6495&amp;url=harzardrecs.php","干熄焦框架5层平台有多处细碎铁件，若1名职工巡查时将其中一铁件踢落，铁件自30多米高空坠下恰巧砸中地面一戴安全帽巡检维护通行人员的头部。")</f>
        <v>干熄焦框架5层平台有多处细碎铁件，若1名职工巡查时将其中一铁件踢落，铁件自30多米高空坠下恰巧砸中地面一戴安全帽巡检维护通行人员的头部。</v>
      </c>
      <c r="E381" s="19" t="s">
        <v>1884</v>
      </c>
      <c r="F381" s="20" t="s">
        <v>42</v>
      </c>
      <c r="G381" s="22" t="s">
        <v>66</v>
      </c>
      <c r="H381" s="19" t="s">
        <v>44</v>
      </c>
      <c r="I381" s="19"/>
      <c r="J381" s="19"/>
      <c r="K381" s="19" t="s">
        <v>69</v>
      </c>
      <c r="L381" s="19"/>
      <c r="M381" s="19" t="s">
        <v>117</v>
      </c>
      <c r="N381" s="19" t="s">
        <v>1885</v>
      </c>
      <c r="O381" s="19" t="s">
        <v>117</v>
      </c>
      <c r="P381" s="19" t="s">
        <v>635</v>
      </c>
      <c r="Q381" s="19" t="s">
        <v>1886</v>
      </c>
      <c r="R381" s="19" t="s">
        <v>1887</v>
      </c>
      <c r="S381" s="19"/>
      <c r="T381" s="19" t="s">
        <v>54</v>
      </c>
      <c r="U381" s="19" t="s">
        <v>55</v>
      </c>
      <c r="V381" s="19" t="s">
        <v>56</v>
      </c>
      <c r="W381" s="19" t="s">
        <v>57</v>
      </c>
      <c r="X381" s="19" t="s">
        <v>235</v>
      </c>
      <c r="Y381" s="19"/>
      <c r="Z381" s="19" t="s">
        <v>1888</v>
      </c>
      <c r="AA381" s="19">
        <v>2</v>
      </c>
      <c r="AB381" s="19">
        <v>2</v>
      </c>
      <c r="AC381" s="19" t="s">
        <v>60</v>
      </c>
      <c r="AD381" s="19" t="s">
        <v>635</v>
      </c>
      <c r="AE381" s="19" t="s">
        <v>1088</v>
      </c>
      <c r="AF381" s="19" t="s">
        <v>1889</v>
      </c>
    </row>
    <row r="382" spans="1:34" customHeight="1" ht="42">
      <c r="A382" s="19">
        <v>373</v>
      </c>
      <c r="B382" s="19" t="s">
        <v>1241</v>
      </c>
      <c r="C382" s="19" t="s">
        <v>195</v>
      </c>
      <c r="D382" s="19" t="str">
        <f>HYPERLINK("http://www.henontech.com/fieldsafety/harzard/harzard_show.php?rid=6497&amp;url=harzardrecs.php","水熄泵房北侧巡查通道被堆放的桥架盖板、铁梯等物件堵塞，恰巧1名启泵操作人员因夜间视线不好，自该处通行时被绊倒，胸部磕碰至现场铁件。")</f>
        <v>水熄泵房北侧巡查通道被堆放的桥架盖板、铁梯等物件堵塞，恰巧1名启泵操作人员因夜间视线不好，自该处通行时被绊倒，胸部磕碰至现场铁件。</v>
      </c>
      <c r="E382" s="19" t="s">
        <v>1890</v>
      </c>
      <c r="F382" s="20" t="s">
        <v>42</v>
      </c>
      <c r="G382" s="21" t="s">
        <v>43</v>
      </c>
      <c r="H382" s="19" t="s">
        <v>44</v>
      </c>
      <c r="I382" s="19"/>
      <c r="J382" s="19"/>
      <c r="K382" s="19" t="s">
        <v>69</v>
      </c>
      <c r="L382" s="19"/>
      <c r="M382" s="19" t="s">
        <v>117</v>
      </c>
      <c r="N382" s="19" t="s">
        <v>1885</v>
      </c>
      <c r="O382" s="19" t="s">
        <v>117</v>
      </c>
      <c r="P382" s="19" t="s">
        <v>287</v>
      </c>
      <c r="Q382" s="19" t="s">
        <v>1891</v>
      </c>
      <c r="R382" s="19" t="s">
        <v>1892</v>
      </c>
      <c r="S382" s="19"/>
      <c r="T382" s="19" t="s">
        <v>54</v>
      </c>
      <c r="U382" s="19" t="s">
        <v>55</v>
      </c>
      <c r="V382" s="19" t="s">
        <v>56</v>
      </c>
      <c r="W382" s="19" t="s">
        <v>57</v>
      </c>
      <c r="X382" s="19" t="s">
        <v>235</v>
      </c>
      <c r="Y382" s="19"/>
      <c r="Z382" s="19" t="s">
        <v>1893</v>
      </c>
      <c r="AA382" s="19">
        <v>2</v>
      </c>
      <c r="AB382" s="19">
        <v>2</v>
      </c>
      <c r="AC382" s="19" t="s">
        <v>60</v>
      </c>
      <c r="AD382" s="19" t="s">
        <v>287</v>
      </c>
      <c r="AE382" s="19" t="s">
        <v>1074</v>
      </c>
      <c r="AF382" s="19"/>
    </row>
    <row r="383" spans="1:34">
      <c r="A383" s="19">
        <v>374</v>
      </c>
      <c r="B383" s="19" t="s">
        <v>1241</v>
      </c>
      <c r="C383" s="19" t="s">
        <v>1262</v>
      </c>
      <c r="D383" s="19" t="str">
        <f>HYPERLINK("http://www.henontech.com/fieldsafety/harzard/harzard_show.php?rid=6508&amp;url=harzardrecs.php","化产车间粗苯贫油冷却器爬梯无警示牌，如果一名操作工攀登时，不慎摔落，腰部受伤，经送医诊断腰部轻微扭伤，休息一会，继续工作。")</f>
        <v>化产车间粗苯贫油冷却器爬梯无警示牌，如果一名操作工攀登时，不慎摔落，腰部受伤，经送医诊断腰部轻微扭伤，休息一会，继续工作。</v>
      </c>
      <c r="E383" s="19" t="s">
        <v>1894</v>
      </c>
      <c r="F383" s="20" t="s">
        <v>42</v>
      </c>
      <c r="G383" s="21" t="s">
        <v>43</v>
      </c>
      <c r="H383" s="19" t="s">
        <v>44</v>
      </c>
      <c r="I383" s="19" t="s">
        <v>45</v>
      </c>
      <c r="J383" s="19" t="s">
        <v>178</v>
      </c>
      <c r="K383" s="19" t="s">
        <v>47</v>
      </c>
      <c r="L383" s="19" t="s">
        <v>48</v>
      </c>
      <c r="M383" s="19" t="s">
        <v>70</v>
      </c>
      <c r="N383" s="19" t="s">
        <v>261</v>
      </c>
      <c r="O383" s="19" t="s">
        <v>70</v>
      </c>
      <c r="P383" s="19" t="s">
        <v>72</v>
      </c>
      <c r="Q383" s="19" t="s">
        <v>1895</v>
      </c>
      <c r="R383" s="19" t="s">
        <v>1896</v>
      </c>
      <c r="S383" s="19"/>
      <c r="T383" s="19" t="s">
        <v>54</v>
      </c>
      <c r="U383" s="19" t="s">
        <v>75</v>
      </c>
      <c r="V383" s="19" t="s">
        <v>101</v>
      </c>
      <c r="W383" s="19" t="s">
        <v>77</v>
      </c>
      <c r="X383" s="19"/>
      <c r="Y383" s="19"/>
      <c r="Z383" s="19" t="s">
        <v>1897</v>
      </c>
      <c r="AA383" s="19">
        <v>1</v>
      </c>
      <c r="AB383" s="19">
        <v>1</v>
      </c>
      <c r="AC383" s="19" t="s">
        <v>60</v>
      </c>
      <c r="AD383" s="19" t="s">
        <v>72</v>
      </c>
      <c r="AE383" s="19" t="s">
        <v>1202</v>
      </c>
      <c r="AF383" s="19"/>
    </row>
    <row r="384" spans="1:34">
      <c r="A384" s="19">
        <v>375</v>
      </c>
      <c r="B384" s="19" t="s">
        <v>1898</v>
      </c>
      <c r="C384" s="19" t="s">
        <v>1899</v>
      </c>
      <c r="D384" s="19" t="str">
        <f>HYPERLINK("http://www.henontech.com/fieldsafety/harzard/harzard_show.php?rid=6589&amp;url=harzardrecs.php","流量计防水圈老化")</f>
        <v>流量计防水圈老化</v>
      </c>
      <c r="E384" s="19" t="s">
        <v>1900</v>
      </c>
      <c r="F384" s="24" t="s">
        <v>387</v>
      </c>
      <c r="G384" s="21" t="s">
        <v>43</v>
      </c>
      <c r="H384" s="19" t="s">
        <v>44</v>
      </c>
      <c r="I384" s="19"/>
      <c r="J384" s="19" t="s">
        <v>46</v>
      </c>
      <c r="K384" s="19" t="s">
        <v>69</v>
      </c>
      <c r="L384" s="19"/>
      <c r="M384" s="19" t="s">
        <v>70</v>
      </c>
      <c r="N384" s="19" t="s">
        <v>1644</v>
      </c>
      <c r="O384" s="19"/>
      <c r="P384" s="19"/>
      <c r="Q384" s="19"/>
      <c r="R384" s="19" t="s">
        <v>1901</v>
      </c>
      <c r="S384" s="19" t="s">
        <v>1902</v>
      </c>
      <c r="T384" s="19" t="s">
        <v>100</v>
      </c>
      <c r="U384" s="19" t="s">
        <v>192</v>
      </c>
      <c r="V384" s="19" t="s">
        <v>271</v>
      </c>
      <c r="W384" s="19" t="s">
        <v>77</v>
      </c>
      <c r="X384" s="19"/>
      <c r="Y384" s="19"/>
      <c r="Z384" s="19"/>
      <c r="AA384" s="19">
        <v>0</v>
      </c>
      <c r="AB384" s="19"/>
      <c r="AC384" s="19" t="s">
        <v>392</v>
      </c>
      <c r="AD384" s="19"/>
      <c r="AE384" s="19"/>
      <c r="AF384" s="19"/>
    </row>
    <row r="385" spans="1:34" customHeight="1" ht="42">
      <c r="A385" s="19">
        <v>376</v>
      </c>
      <c r="B385" s="19" t="s">
        <v>1898</v>
      </c>
      <c r="C385" s="19" t="s">
        <v>1511</v>
      </c>
      <c r="D385" s="19" t="str">
        <f>HYPERLINK("http://www.henontech.com/fieldsafety/harzard/harzard_show.php?rid=6622&amp;url=harzardrecs.php","2#站芬顿罐区无照明灯，一操作工巡检时因视线不良不慎摔倒，造成右小臂骨折，住院治疗15天出院，在家休养60天后复工")</f>
        <v>2#站芬顿罐区无照明灯，一操作工巡检时因视线不良不慎摔倒，造成右小臂骨折，住院治疗15天出院，在家休养60天后复工</v>
      </c>
      <c r="E385" s="19" t="s">
        <v>1903</v>
      </c>
      <c r="F385" s="20" t="s">
        <v>42</v>
      </c>
      <c r="G385" s="21" t="s">
        <v>43</v>
      </c>
      <c r="H385" s="19" t="s">
        <v>44</v>
      </c>
      <c r="I385" s="19" t="s">
        <v>45</v>
      </c>
      <c r="J385" s="19" t="s">
        <v>46</v>
      </c>
      <c r="K385" s="19" t="s">
        <v>69</v>
      </c>
      <c r="L385" s="19"/>
      <c r="M385" s="19" t="s">
        <v>49</v>
      </c>
      <c r="N385" s="19" t="s">
        <v>1513</v>
      </c>
      <c r="O385" s="19" t="s">
        <v>49</v>
      </c>
      <c r="P385" s="19" t="s">
        <v>1514</v>
      </c>
      <c r="Q385" s="19" t="s">
        <v>1904</v>
      </c>
      <c r="R385" s="19" t="s">
        <v>1905</v>
      </c>
      <c r="S385" s="19"/>
      <c r="T385" s="19" t="s">
        <v>54</v>
      </c>
      <c r="U385" s="19" t="s">
        <v>55</v>
      </c>
      <c r="V385" s="19" t="s">
        <v>56</v>
      </c>
      <c r="W385" s="19" t="s">
        <v>57</v>
      </c>
      <c r="X385" s="19" t="s">
        <v>58</v>
      </c>
      <c r="Y385" s="19"/>
      <c r="Z385" s="19" t="s">
        <v>1906</v>
      </c>
      <c r="AA385" s="19">
        <v>2</v>
      </c>
      <c r="AB385" s="19">
        <v>2</v>
      </c>
      <c r="AC385" s="19" t="s">
        <v>60</v>
      </c>
      <c r="AD385" s="19" t="s">
        <v>1514</v>
      </c>
      <c r="AE385" s="19" t="s">
        <v>1132</v>
      </c>
      <c r="AF385" s="19"/>
    </row>
    <row r="386" spans="1:34">
      <c r="A386" s="19">
        <v>377</v>
      </c>
      <c r="B386" s="19" t="s">
        <v>1886</v>
      </c>
      <c r="C386" s="19" t="s">
        <v>520</v>
      </c>
      <c r="D386" s="19" t="str">
        <f>HYPERLINK("http://www.henontech.com/fieldsafety/harzard/harzard_show.php?rid=6629&amp;url=harzardrecs.php","中水酸碱加药间屋顶通风扇下雨期间漏水漏至下方加药泵电机处，电机无防雨罩操作工巡检不及时导致电机进水，造成电机烧毁，经济损失3000元。")</f>
        <v>中水酸碱加药间屋顶通风扇下雨期间漏水漏至下方加药泵电机处，电机无防雨罩操作工巡检不及时导致电机进水，造成电机烧毁，经济损失3000元。</v>
      </c>
      <c r="E386" s="19" t="s">
        <v>1907</v>
      </c>
      <c r="F386" s="20" t="s">
        <v>42</v>
      </c>
      <c r="G386" s="21" t="s">
        <v>43</v>
      </c>
      <c r="H386" s="19" t="s">
        <v>44</v>
      </c>
      <c r="I386" s="19" t="s">
        <v>45</v>
      </c>
      <c r="J386" s="19" t="s">
        <v>68</v>
      </c>
      <c r="K386" s="19" t="s">
        <v>209</v>
      </c>
      <c r="L386" s="19"/>
      <c r="M386" s="19" t="s">
        <v>49</v>
      </c>
      <c r="N386" s="19" t="s">
        <v>1908</v>
      </c>
      <c r="O386" s="19" t="s">
        <v>49</v>
      </c>
      <c r="P386" s="19" t="s">
        <v>1909</v>
      </c>
      <c r="Q386" s="19" t="s">
        <v>1910</v>
      </c>
      <c r="R386" s="19" t="s">
        <v>1911</v>
      </c>
      <c r="S386" s="19"/>
      <c r="T386" s="19" t="s">
        <v>100</v>
      </c>
      <c r="U386" s="19" t="s">
        <v>192</v>
      </c>
      <c r="V386" s="19" t="s">
        <v>271</v>
      </c>
      <c r="W386" s="19" t="s">
        <v>77</v>
      </c>
      <c r="X386" s="19" t="s">
        <v>58</v>
      </c>
      <c r="Y386" s="19" t="s">
        <v>58</v>
      </c>
      <c r="Z386" s="19" t="s">
        <v>1912</v>
      </c>
      <c r="AA386" s="19">
        <v>1</v>
      </c>
      <c r="AB386" s="19">
        <v>1</v>
      </c>
      <c r="AC386" s="19" t="s">
        <v>60</v>
      </c>
      <c r="AD386" s="19" t="s">
        <v>1909</v>
      </c>
      <c r="AE386" s="19" t="s">
        <v>1322</v>
      </c>
      <c r="AF386" s="19"/>
    </row>
    <row r="387" spans="1:34">
      <c r="A387" s="19">
        <v>378</v>
      </c>
      <c r="B387" s="19" t="s">
        <v>1886</v>
      </c>
      <c r="C387" s="19" t="s">
        <v>1913</v>
      </c>
      <c r="D387" s="19" t="str">
        <f>HYPERLINK("http://www.henontech.com/fieldsafety/harzard/harzard_show.php?rid=6712&amp;url=harzardrecs.php","深度脱硫泡沫槽摄像头支架腐蚀严重，无法支撑摄像头导致脱落摔坏")</f>
        <v>深度脱硫泡沫槽摄像头支架腐蚀严重，无法支撑摄像头导致脱落摔坏</v>
      </c>
      <c r="E387" s="19" t="s">
        <v>1914</v>
      </c>
      <c r="F387" s="20" t="s">
        <v>42</v>
      </c>
      <c r="G387" s="21" t="s">
        <v>43</v>
      </c>
      <c r="H387" s="19" t="s">
        <v>44</v>
      </c>
      <c r="I387" s="19" t="s">
        <v>45</v>
      </c>
      <c r="J387" s="19" t="s">
        <v>46</v>
      </c>
      <c r="K387" s="19" t="s">
        <v>69</v>
      </c>
      <c r="L387" s="19" t="s">
        <v>48</v>
      </c>
      <c r="M387" s="19" t="s">
        <v>70</v>
      </c>
      <c r="N387" s="19" t="s">
        <v>720</v>
      </c>
      <c r="O387" s="19" t="s">
        <v>70</v>
      </c>
      <c r="P387" s="19" t="s">
        <v>72</v>
      </c>
      <c r="Q387" s="19" t="s">
        <v>1848</v>
      </c>
      <c r="R387" s="19" t="s">
        <v>1915</v>
      </c>
      <c r="S387" s="19"/>
      <c r="T387" s="19" t="s">
        <v>100</v>
      </c>
      <c r="U387" s="19" t="s">
        <v>192</v>
      </c>
      <c r="V387" s="19" t="s">
        <v>76</v>
      </c>
      <c r="W387" s="19" t="s">
        <v>77</v>
      </c>
      <c r="X387" s="19"/>
      <c r="Y387" s="19"/>
      <c r="Z387" s="19" t="s">
        <v>1916</v>
      </c>
      <c r="AA387" s="19">
        <v>1</v>
      </c>
      <c r="AB387" s="19">
        <v>1</v>
      </c>
      <c r="AC387" s="19" t="s">
        <v>60</v>
      </c>
      <c r="AD387" s="19" t="s">
        <v>72</v>
      </c>
      <c r="AE387" s="19" t="s">
        <v>1202</v>
      </c>
      <c r="AF387" s="19"/>
    </row>
    <row r="388" spans="1:34">
      <c r="A388" s="19">
        <v>379</v>
      </c>
      <c r="B388" s="19" t="s">
        <v>1917</v>
      </c>
      <c r="C388" s="19" t="s">
        <v>158</v>
      </c>
      <c r="D388" s="19" t="str">
        <f>HYPERLINK("http://www.henontech.com/fieldsafety/harzard/harzard_show.php?rid=6765&amp;url=harzardrecs.php","夜班洗脱苯一名巡检工在大风天气巡检设备，巡检至泵房南时被吹落的桥架盖板划伤后颈部！")</f>
        <v>夜班洗脱苯一名巡检工在大风天气巡检设备，巡检至泵房南时被吹落的桥架盖板划伤后颈部！</v>
      </c>
      <c r="E388" s="19" t="s">
        <v>1918</v>
      </c>
      <c r="F388" s="20" t="s">
        <v>42</v>
      </c>
      <c r="G388" s="21" t="s">
        <v>43</v>
      </c>
      <c r="H388" s="19" t="s">
        <v>44</v>
      </c>
      <c r="I388" s="19" t="s">
        <v>45</v>
      </c>
      <c r="J388" s="19" t="s">
        <v>68</v>
      </c>
      <c r="K388" s="19" t="s">
        <v>69</v>
      </c>
      <c r="L388" s="19" t="s">
        <v>48</v>
      </c>
      <c r="M388" s="19" t="s">
        <v>70</v>
      </c>
      <c r="N388" s="19" t="s">
        <v>724</v>
      </c>
      <c r="O388" s="19" t="s">
        <v>70</v>
      </c>
      <c r="P388" s="19" t="s">
        <v>72</v>
      </c>
      <c r="Q388" s="19" t="s">
        <v>1848</v>
      </c>
      <c r="R388" s="19" t="s">
        <v>1919</v>
      </c>
      <c r="S388" s="19"/>
      <c r="T388" s="19" t="s">
        <v>54</v>
      </c>
      <c r="U388" s="19" t="s">
        <v>75</v>
      </c>
      <c r="V388" s="19" t="s">
        <v>101</v>
      </c>
      <c r="W388" s="19" t="s">
        <v>77</v>
      </c>
      <c r="X388" s="19"/>
      <c r="Y388" s="19"/>
      <c r="Z388" s="19" t="s">
        <v>1920</v>
      </c>
      <c r="AA388" s="19">
        <v>1</v>
      </c>
      <c r="AB388" s="19">
        <v>1</v>
      </c>
      <c r="AC388" s="19" t="s">
        <v>60</v>
      </c>
      <c r="AD388" s="19" t="s">
        <v>72</v>
      </c>
      <c r="AE388" s="19" t="s">
        <v>1116</v>
      </c>
      <c r="AF388" s="19"/>
    </row>
    <row r="389" spans="1:34">
      <c r="A389" s="19">
        <v>380</v>
      </c>
      <c r="B389" s="19" t="s">
        <v>1921</v>
      </c>
      <c r="C389" s="19" t="s">
        <v>1899</v>
      </c>
      <c r="D389" s="19" t="str">
        <f>HYPERLINK("http://www.henontech.com/fieldsafety/harzard/harzard_show.php?rid=6819&amp;url=harzardrecs.php","一操作人员在巡检时因注意力不集中未发现地沟盖板破损致使右脚陷入地沟盖板破损处送医务室")</f>
        <v>一操作人员在巡检时因注意力不集中未发现地沟盖板破损致使右脚陷入地沟盖板破损处送医务室</v>
      </c>
      <c r="E389" s="19" t="s">
        <v>1922</v>
      </c>
      <c r="F389" s="20" t="s">
        <v>42</v>
      </c>
      <c r="G389" s="21" t="s">
        <v>43</v>
      </c>
      <c r="H389" s="19" t="s">
        <v>44</v>
      </c>
      <c r="I389" s="19"/>
      <c r="J389" s="19"/>
      <c r="K389" s="19" t="s">
        <v>69</v>
      </c>
      <c r="L389" s="19"/>
      <c r="M389" s="19" t="s">
        <v>70</v>
      </c>
      <c r="N389" s="19" t="s">
        <v>504</v>
      </c>
      <c r="O389" s="19" t="s">
        <v>70</v>
      </c>
      <c r="P389" s="19" t="s">
        <v>72</v>
      </c>
      <c r="Q389" s="19" t="s">
        <v>1848</v>
      </c>
      <c r="R389" s="19" t="s">
        <v>1923</v>
      </c>
      <c r="S389" s="19"/>
      <c r="T389" s="19" t="s">
        <v>54</v>
      </c>
      <c r="U389" s="19" t="s">
        <v>75</v>
      </c>
      <c r="V389" s="19" t="s">
        <v>56</v>
      </c>
      <c r="W389" s="19" t="s">
        <v>138</v>
      </c>
      <c r="X389" s="19"/>
      <c r="Y389" s="19"/>
      <c r="Z389" s="19" t="s">
        <v>1924</v>
      </c>
      <c r="AA389" s="19">
        <v>1</v>
      </c>
      <c r="AB389" s="19">
        <v>1</v>
      </c>
      <c r="AC389" s="19" t="s">
        <v>60</v>
      </c>
      <c r="AD389" s="19" t="s">
        <v>72</v>
      </c>
      <c r="AE389" s="19" t="s">
        <v>1202</v>
      </c>
      <c r="AF389" s="19"/>
    </row>
    <row r="390" spans="1:34">
      <c r="A390" s="19">
        <v>381</v>
      </c>
      <c r="B390" s="19" t="s">
        <v>1921</v>
      </c>
      <c r="C390" s="19" t="s">
        <v>1925</v>
      </c>
      <c r="D390" s="19" t="str">
        <f>HYPERLINK("http://www.henontech.com/fieldsafety/harzard/harzard_show.php?rid=6886&amp;url=harzardrecs.php","东一西侧一吊装作业现场未设监护人，如果钢丝绳松动吊装物掉落砸伤人员腿部，送医治疗，修养3个月。")</f>
        <v>东一西侧一吊装作业现场未设监护人，如果钢丝绳松动吊装物掉落砸伤人员腿部，送医治疗，修养3个月。</v>
      </c>
      <c r="E390" s="19" t="s">
        <v>1926</v>
      </c>
      <c r="F390" s="24" t="s">
        <v>387</v>
      </c>
      <c r="G390" s="21" t="s">
        <v>43</v>
      </c>
      <c r="H390" s="19" t="s">
        <v>44</v>
      </c>
      <c r="I390" s="19" t="s">
        <v>437</v>
      </c>
      <c r="J390" s="19" t="s">
        <v>401</v>
      </c>
      <c r="K390" s="19" t="s">
        <v>69</v>
      </c>
      <c r="L390" s="19" t="s">
        <v>48</v>
      </c>
      <c r="M390" s="19" t="s">
        <v>70</v>
      </c>
      <c r="N390" s="19" t="s">
        <v>1927</v>
      </c>
      <c r="O390" s="19"/>
      <c r="P390" s="19"/>
      <c r="Q390" s="19"/>
      <c r="R390" s="19" t="s">
        <v>1928</v>
      </c>
      <c r="S390" s="19" t="s">
        <v>1929</v>
      </c>
      <c r="T390" s="19" t="s">
        <v>54</v>
      </c>
      <c r="U390" s="19" t="s">
        <v>55</v>
      </c>
      <c r="V390" s="19" t="s">
        <v>101</v>
      </c>
      <c r="W390" s="19" t="s">
        <v>138</v>
      </c>
      <c r="X390" s="19"/>
      <c r="Y390" s="19"/>
      <c r="Z390" s="19"/>
      <c r="AA390" s="19">
        <v>0</v>
      </c>
      <c r="AB390" s="19"/>
      <c r="AC390" s="19" t="s">
        <v>392</v>
      </c>
      <c r="AD390" s="19"/>
      <c r="AE390" s="19"/>
      <c r="AF390" s="19"/>
    </row>
    <row r="391" spans="1:34">
      <c r="A391" s="19">
        <v>382</v>
      </c>
      <c r="B391" s="19" t="s">
        <v>1891</v>
      </c>
      <c r="C391" s="19" t="s">
        <v>1930</v>
      </c>
      <c r="D391" s="19" t="str">
        <f>HYPERLINK("http://www.henontech.com/fieldsafety/harzard/harzard_show.php?rid=7182&amp;url=harzardrecs.php","一名职工在巡检中在初冷器二层平台用手拉护栏的过程中，由于照明穿线管破损发生漏电，造成职工触电后摔倒，后经医务室检查后继续上班")</f>
        <v>一名职工在巡检中在初冷器二层平台用手拉护栏的过程中，由于照明穿线管破损发生漏电，造成职工触电后摔倒，后经医务室检查后继续上班</v>
      </c>
      <c r="E391" s="19" t="s">
        <v>1931</v>
      </c>
      <c r="F391" s="20" t="s">
        <v>42</v>
      </c>
      <c r="G391" s="21" t="s">
        <v>43</v>
      </c>
      <c r="H391" s="19" t="s">
        <v>44</v>
      </c>
      <c r="I391" s="19" t="s">
        <v>45</v>
      </c>
      <c r="J391" s="19" t="s">
        <v>46</v>
      </c>
      <c r="K391" s="19" t="s">
        <v>69</v>
      </c>
      <c r="L391" s="19" t="s">
        <v>48</v>
      </c>
      <c r="M391" s="19" t="s">
        <v>70</v>
      </c>
      <c r="N391" s="19" t="s">
        <v>454</v>
      </c>
      <c r="O391" s="19" t="s">
        <v>70</v>
      </c>
      <c r="P391" s="19" t="s">
        <v>72</v>
      </c>
      <c r="Q391" s="19" t="s">
        <v>1848</v>
      </c>
      <c r="R391" s="19" t="s">
        <v>1932</v>
      </c>
      <c r="S391" s="19"/>
      <c r="T391" s="19" t="s">
        <v>54</v>
      </c>
      <c r="U391" s="19" t="s">
        <v>192</v>
      </c>
      <c r="V391" s="19" t="s">
        <v>271</v>
      </c>
      <c r="W391" s="19" t="s">
        <v>77</v>
      </c>
      <c r="X391" s="19"/>
      <c r="Y391" s="19"/>
      <c r="Z391" s="19" t="s">
        <v>1933</v>
      </c>
      <c r="AA391" s="19">
        <v>1</v>
      </c>
      <c r="AB391" s="19">
        <v>1</v>
      </c>
      <c r="AC391" s="19" t="s">
        <v>60</v>
      </c>
      <c r="AD391" s="19" t="s">
        <v>72</v>
      </c>
      <c r="AE391" s="19" t="s">
        <v>1202</v>
      </c>
      <c r="AF391" s="19"/>
    </row>
    <row r="392" spans="1:34" customHeight="1" ht="42">
      <c r="A392" s="19">
        <v>383</v>
      </c>
      <c r="B392" s="19" t="s">
        <v>1934</v>
      </c>
      <c r="C392" s="19" t="s">
        <v>1633</v>
      </c>
      <c r="D392" s="19" t="str">
        <f>HYPERLINK("http://www.henontech.com/fieldsafety/harzard/harzard_show.php?rid=7373&amp;url=harzardrecs.php","送煤车前沿刮板机盖板已损坏，操作人员在锄煤时，由于未发现盖板损坏，不慎脚踩空，造成脚腕受伤")</f>
        <v>送煤车前沿刮板机盖板已损坏，操作人员在锄煤时，由于未发现盖板损坏，不慎脚踩空，造成脚腕受伤</v>
      </c>
      <c r="E392" s="19" t="s">
        <v>1935</v>
      </c>
      <c r="F392" s="20" t="s">
        <v>42</v>
      </c>
      <c r="G392" s="21" t="s">
        <v>43</v>
      </c>
      <c r="H392" s="19" t="s">
        <v>44</v>
      </c>
      <c r="I392" s="19" t="s">
        <v>45</v>
      </c>
      <c r="J392" s="19" t="s">
        <v>68</v>
      </c>
      <c r="K392" s="19" t="s">
        <v>69</v>
      </c>
      <c r="L392" s="19" t="s">
        <v>573</v>
      </c>
      <c r="M392" s="19" t="s">
        <v>117</v>
      </c>
      <c r="N392" s="19" t="s">
        <v>1936</v>
      </c>
      <c r="O392" s="19" t="s">
        <v>117</v>
      </c>
      <c r="P392" s="19" t="s">
        <v>224</v>
      </c>
      <c r="Q392" s="19" t="s">
        <v>1937</v>
      </c>
      <c r="R392" s="19" t="s">
        <v>1480</v>
      </c>
      <c r="S392" s="19"/>
      <c r="T392" s="19" t="s">
        <v>54</v>
      </c>
      <c r="U392" s="19" t="s">
        <v>55</v>
      </c>
      <c r="V392" s="19" t="s">
        <v>56</v>
      </c>
      <c r="W392" s="19" t="s">
        <v>57</v>
      </c>
      <c r="X392" s="19" t="s">
        <v>58</v>
      </c>
      <c r="Y392" s="19"/>
      <c r="Z392" s="19" t="s">
        <v>1938</v>
      </c>
      <c r="AA392" s="19">
        <v>2</v>
      </c>
      <c r="AB392" s="19">
        <v>2</v>
      </c>
      <c r="AC392" s="19" t="s">
        <v>60</v>
      </c>
      <c r="AD392" s="19" t="s">
        <v>224</v>
      </c>
      <c r="AE392" s="19" t="s">
        <v>1074</v>
      </c>
      <c r="AF392" s="19"/>
    </row>
    <row r="393" spans="1:34" customHeight="1" ht="42">
      <c r="A393" s="19">
        <v>384</v>
      </c>
      <c r="B393" s="19" t="s">
        <v>1934</v>
      </c>
      <c r="C393" s="19" t="s">
        <v>1250</v>
      </c>
      <c r="D393" s="19" t="str">
        <f>HYPERLINK("http://www.henontech.com/fieldsafety/harzard/harzard_show.php?rid=7374&amp;url=harzardrecs.php","焦四机尾滚筒护栏缺失，一操作工在清理卫生时，手臂不慎卷入皮带，造成手臂骨折，送医抢救。")</f>
        <v>焦四机尾滚筒护栏缺失，一操作工在清理卫生时，手臂不慎卷入皮带，造成手臂骨折，送医抢救。</v>
      </c>
      <c r="E393" s="19" t="s">
        <v>1939</v>
      </c>
      <c r="F393" s="20" t="s">
        <v>42</v>
      </c>
      <c r="G393" s="21" t="s">
        <v>43</v>
      </c>
      <c r="H393" s="19" t="s">
        <v>44</v>
      </c>
      <c r="I393" s="19" t="s">
        <v>83</v>
      </c>
      <c r="J393" s="19" t="s">
        <v>46</v>
      </c>
      <c r="K393" s="19" t="s">
        <v>145</v>
      </c>
      <c r="L393" s="19" t="s">
        <v>573</v>
      </c>
      <c r="M393" s="19" t="s">
        <v>117</v>
      </c>
      <c r="N393" s="19" t="s">
        <v>168</v>
      </c>
      <c r="O393" s="19" t="s">
        <v>117</v>
      </c>
      <c r="P393" s="19" t="s">
        <v>287</v>
      </c>
      <c r="Q393" s="19" t="s">
        <v>1937</v>
      </c>
      <c r="R393" s="19" t="s">
        <v>1940</v>
      </c>
      <c r="S393" s="19"/>
      <c r="T393" s="19" t="s">
        <v>54</v>
      </c>
      <c r="U393" s="19" t="s">
        <v>55</v>
      </c>
      <c r="V393" s="19" t="s">
        <v>56</v>
      </c>
      <c r="W393" s="19" t="s">
        <v>57</v>
      </c>
      <c r="X393" s="19" t="s">
        <v>58</v>
      </c>
      <c r="Y393" s="19"/>
      <c r="Z393" s="19" t="s">
        <v>1941</v>
      </c>
      <c r="AA393" s="19">
        <v>2</v>
      </c>
      <c r="AB393" s="19">
        <v>2</v>
      </c>
      <c r="AC393" s="19" t="s">
        <v>60</v>
      </c>
      <c r="AD393" s="19" t="s">
        <v>287</v>
      </c>
      <c r="AE393" s="19" t="s">
        <v>1074</v>
      </c>
      <c r="AF393" s="19"/>
    </row>
    <row r="394" spans="1:34" customHeight="1" ht="42">
      <c r="A394" s="19">
        <v>385</v>
      </c>
      <c r="B394" s="19" t="s">
        <v>1934</v>
      </c>
      <c r="C394" s="19" t="s">
        <v>1852</v>
      </c>
      <c r="D394" s="19" t="str">
        <f>HYPERLINK("http://www.henontech.com/fieldsafety/harzard/harzard_show.php?rid=7375&amp;url=harzardrecs.php","地下室机侧通廊顶部铁皮锈蚀坠落，一操作工巡检路过被砸中")</f>
        <v>地下室机侧通廊顶部铁皮锈蚀坠落，一操作工巡检路过被砸中</v>
      </c>
      <c r="E394" s="19" t="s">
        <v>1942</v>
      </c>
      <c r="F394" s="20" t="s">
        <v>42</v>
      </c>
      <c r="G394" s="21" t="s">
        <v>43</v>
      </c>
      <c r="H394" s="19" t="s">
        <v>44</v>
      </c>
      <c r="I394" s="19" t="s">
        <v>45</v>
      </c>
      <c r="J394" s="19" t="s">
        <v>46</v>
      </c>
      <c r="K394" s="19" t="s">
        <v>145</v>
      </c>
      <c r="L394" s="19" t="s">
        <v>48</v>
      </c>
      <c r="M394" s="19" t="s">
        <v>117</v>
      </c>
      <c r="N394" s="19" t="s">
        <v>1943</v>
      </c>
      <c r="O394" s="19" t="s">
        <v>117</v>
      </c>
      <c r="P394" s="19" t="s">
        <v>224</v>
      </c>
      <c r="Q394" s="19" t="s">
        <v>1937</v>
      </c>
      <c r="R394" s="19" t="s">
        <v>1944</v>
      </c>
      <c r="S394" s="19"/>
      <c r="T394" s="19" t="s">
        <v>54</v>
      </c>
      <c r="U394" s="19" t="s">
        <v>55</v>
      </c>
      <c r="V394" s="19" t="s">
        <v>56</v>
      </c>
      <c r="W394" s="19" t="s">
        <v>57</v>
      </c>
      <c r="X394" s="19" t="s">
        <v>123</v>
      </c>
      <c r="Y394" s="19"/>
      <c r="Z394" s="19" t="s">
        <v>1945</v>
      </c>
      <c r="AA394" s="19">
        <v>2</v>
      </c>
      <c r="AB394" s="19">
        <v>2</v>
      </c>
      <c r="AC394" s="19" t="s">
        <v>60</v>
      </c>
      <c r="AD394" s="19" t="s">
        <v>224</v>
      </c>
      <c r="AE394" s="19" t="s">
        <v>1202</v>
      </c>
      <c r="AF394" s="19"/>
    </row>
    <row r="395" spans="1:34" customHeight="1" ht="42">
      <c r="A395" s="19">
        <v>386</v>
      </c>
      <c r="B395" s="19" t="s">
        <v>1934</v>
      </c>
      <c r="C395" s="19" t="s">
        <v>1500</v>
      </c>
      <c r="D395" s="19" t="str">
        <f>HYPERLINK("http://www.henontech.com/fieldsafety/harzard/harzard_show.php?rid=7376&amp;url=harzardrecs.php","推焦车载除尘爬梯未设置安全标识，由于未做到安全提醒，员工在上下爬梯时不慎摔下，脚部着地造成事故。")</f>
        <v>推焦车载除尘爬梯未设置安全标识，由于未做到安全提醒，员工在上下爬梯时不慎摔下，脚部着地造成事故。</v>
      </c>
      <c r="E395" s="19" t="s">
        <v>1946</v>
      </c>
      <c r="F395" s="20" t="s">
        <v>42</v>
      </c>
      <c r="G395" s="21" t="s">
        <v>43</v>
      </c>
      <c r="H395" s="19" t="s">
        <v>44</v>
      </c>
      <c r="I395" s="19" t="s">
        <v>45</v>
      </c>
      <c r="J395" s="19" t="s">
        <v>178</v>
      </c>
      <c r="K395" s="19" t="s">
        <v>69</v>
      </c>
      <c r="L395" s="19" t="s">
        <v>573</v>
      </c>
      <c r="M395" s="19" t="s">
        <v>117</v>
      </c>
      <c r="N395" s="19" t="s">
        <v>1283</v>
      </c>
      <c r="O395" s="19" t="s">
        <v>117</v>
      </c>
      <c r="P395" s="19" t="s">
        <v>602</v>
      </c>
      <c r="Q395" s="19" t="s">
        <v>1937</v>
      </c>
      <c r="R395" s="19" t="s">
        <v>1947</v>
      </c>
      <c r="S395" s="19"/>
      <c r="T395" s="19" t="s">
        <v>54</v>
      </c>
      <c r="U395" s="19" t="s">
        <v>55</v>
      </c>
      <c r="V395" s="19" t="s">
        <v>271</v>
      </c>
      <c r="W395" s="19" t="s">
        <v>122</v>
      </c>
      <c r="X395" s="19" t="s">
        <v>123</v>
      </c>
      <c r="Y395" s="19"/>
      <c r="Z395" s="19" t="s">
        <v>1948</v>
      </c>
      <c r="AA395" s="19">
        <v>2</v>
      </c>
      <c r="AB395" s="19">
        <v>2</v>
      </c>
      <c r="AC395" s="19" t="s">
        <v>60</v>
      </c>
      <c r="AD395" s="19" t="s">
        <v>602</v>
      </c>
      <c r="AE395" s="19" t="s">
        <v>1074</v>
      </c>
      <c r="AF395" s="19"/>
    </row>
    <row r="396" spans="1:34">
      <c r="A396" s="19">
        <v>387</v>
      </c>
      <c r="B396" s="19" t="s">
        <v>1934</v>
      </c>
      <c r="C396" s="19" t="s">
        <v>721</v>
      </c>
      <c r="D396" s="19" t="str">
        <f>HYPERLINK("http://www.henontech.com/fieldsafety/harzard/harzard_show.php?rid=7462&amp;url=harzardrecs.php","终冷塔煤气交通阀处爬梯平台太低，开关阀门时不方便，假如一名操作工因安全辨识不到位，站在20米高空的护栏上开关阀门，由于用力过大造成护栏开焊，人员从20米高空坠落，坠落同时头部着地人员当场死亡。")</f>
        <v>终冷塔煤气交通阀处爬梯平台太低，开关阀门时不方便，假如一名操作工因安全辨识不到位，站在20米高空的护栏上开关阀门，由于用力过大造成护栏开焊，人员从20米高空坠落，坠落同时头部着地人员当场死亡。</v>
      </c>
      <c r="E396" s="19" t="s">
        <v>1949</v>
      </c>
      <c r="F396" s="20" t="s">
        <v>42</v>
      </c>
      <c r="G396" s="21" t="s">
        <v>43</v>
      </c>
      <c r="H396" s="19" t="s">
        <v>44</v>
      </c>
      <c r="I396" s="19" t="s">
        <v>83</v>
      </c>
      <c r="J396" s="19" t="s">
        <v>46</v>
      </c>
      <c r="K396" s="19" t="s">
        <v>166</v>
      </c>
      <c r="L396" s="19" t="s">
        <v>48</v>
      </c>
      <c r="M396" s="19" t="s">
        <v>70</v>
      </c>
      <c r="N396" s="19" t="s">
        <v>468</v>
      </c>
      <c r="O396" s="19" t="s">
        <v>70</v>
      </c>
      <c r="P396" s="19" t="s">
        <v>72</v>
      </c>
      <c r="Q396" s="19" t="s">
        <v>1950</v>
      </c>
      <c r="R396" s="19" t="s">
        <v>1951</v>
      </c>
      <c r="S396" s="19"/>
      <c r="T396" s="19" t="s">
        <v>54</v>
      </c>
      <c r="U396" s="19" t="s">
        <v>121</v>
      </c>
      <c r="V396" s="19" t="s">
        <v>271</v>
      </c>
      <c r="W396" s="19" t="s">
        <v>122</v>
      </c>
      <c r="X396" s="19" t="s">
        <v>172</v>
      </c>
      <c r="Y396" s="19"/>
      <c r="Z396" s="19" t="s">
        <v>1952</v>
      </c>
      <c r="AA396" s="19">
        <v>1</v>
      </c>
      <c r="AB396" s="19">
        <v>1</v>
      </c>
      <c r="AC396" s="19" t="s">
        <v>60</v>
      </c>
      <c r="AD396" s="19" t="s">
        <v>72</v>
      </c>
      <c r="AE396" s="19" t="s">
        <v>1953</v>
      </c>
      <c r="AF396" s="19"/>
    </row>
    <row r="397" spans="1:34">
      <c r="A397" s="19">
        <v>388</v>
      </c>
      <c r="B397" s="19" t="s">
        <v>1934</v>
      </c>
      <c r="C397" s="19" t="s">
        <v>1761</v>
      </c>
      <c r="D397" s="19" t="str">
        <f>HYPERLINK("http://www.henontech.com/fieldsafety/harzard/harzard_show.php?rid=7601&amp;url=harzardrecs.php","制氮机电磁阀上方屋顶有破损，雨天漏雨直接淋到电磁阀上，造成电磁阀线圈短路制氮机停机")</f>
        <v>制氮机电磁阀上方屋顶有破损，雨天漏雨直接淋到电磁阀上，造成电磁阀线圈短路制氮机停机</v>
      </c>
      <c r="E397" s="19" t="s">
        <v>1954</v>
      </c>
      <c r="F397" s="20" t="s">
        <v>42</v>
      </c>
      <c r="G397" s="22" t="s">
        <v>66</v>
      </c>
      <c r="H397" s="19" t="s">
        <v>44</v>
      </c>
      <c r="I397" s="19"/>
      <c r="J397" s="19" t="s">
        <v>68</v>
      </c>
      <c r="K397" s="19" t="s">
        <v>209</v>
      </c>
      <c r="L397" s="19"/>
      <c r="M397" s="19" t="s">
        <v>70</v>
      </c>
      <c r="N397" s="19" t="s">
        <v>71</v>
      </c>
      <c r="O397" s="19" t="s">
        <v>70</v>
      </c>
      <c r="P397" s="19" t="s">
        <v>72</v>
      </c>
      <c r="Q397" s="19" t="s">
        <v>1848</v>
      </c>
      <c r="R397" s="19" t="s">
        <v>1955</v>
      </c>
      <c r="S397" s="19"/>
      <c r="T397" s="19" t="s">
        <v>100</v>
      </c>
      <c r="U397" s="19" t="s">
        <v>192</v>
      </c>
      <c r="V397" s="19" t="s">
        <v>271</v>
      </c>
      <c r="W397" s="19" t="s">
        <v>77</v>
      </c>
      <c r="X397" s="19"/>
      <c r="Y397" s="19"/>
      <c r="Z397" s="19" t="s">
        <v>1956</v>
      </c>
      <c r="AA397" s="19">
        <v>1</v>
      </c>
      <c r="AB397" s="19">
        <v>1</v>
      </c>
      <c r="AC397" s="19" t="s">
        <v>60</v>
      </c>
      <c r="AD397" s="19" t="s">
        <v>72</v>
      </c>
      <c r="AE397" s="19" t="s">
        <v>1202</v>
      </c>
      <c r="AF397" s="19"/>
    </row>
    <row r="398" spans="1:34">
      <c r="A398" s="19">
        <v>389</v>
      </c>
      <c r="B398" s="19" t="s">
        <v>1934</v>
      </c>
      <c r="C398" s="19" t="s">
        <v>1519</v>
      </c>
      <c r="D398" s="19" t="str">
        <f>HYPERLINK("http://www.henontech.com/fieldsafety/harzard/harzard_show.php?rid=7606&amp;url=harzardrecs.php","两盐抽水地沟无防护，废水与地面持平不易发现，一工人在巡检工作时不慎踩入地沟造成多处擦伤")</f>
        <v>两盐抽水地沟无防护，废水与地面持平不易发现，一工人在巡检工作时不慎踩入地沟造成多处擦伤</v>
      </c>
      <c r="E398" s="19" t="s">
        <v>1957</v>
      </c>
      <c r="F398" s="20" t="s">
        <v>42</v>
      </c>
      <c r="G398" s="21" t="s">
        <v>43</v>
      </c>
      <c r="H398" s="19" t="s">
        <v>44</v>
      </c>
      <c r="I398" s="19" t="s">
        <v>67</v>
      </c>
      <c r="J398" s="19" t="s">
        <v>46</v>
      </c>
      <c r="K398" s="19" t="s">
        <v>145</v>
      </c>
      <c r="L398" s="19"/>
      <c r="M398" s="19" t="s">
        <v>70</v>
      </c>
      <c r="N398" s="19" t="s">
        <v>71</v>
      </c>
      <c r="O398" s="19" t="s">
        <v>70</v>
      </c>
      <c r="P398" s="19" t="s">
        <v>72</v>
      </c>
      <c r="Q398" s="19" t="s">
        <v>1848</v>
      </c>
      <c r="R398" s="19" t="s">
        <v>1958</v>
      </c>
      <c r="S398" s="19"/>
      <c r="T398" s="19" t="s">
        <v>54</v>
      </c>
      <c r="U398" s="19" t="s">
        <v>75</v>
      </c>
      <c r="V398" s="19" t="s">
        <v>271</v>
      </c>
      <c r="W398" s="19" t="s">
        <v>57</v>
      </c>
      <c r="X398" s="19"/>
      <c r="Y398" s="19"/>
      <c r="Z398" s="19" t="s">
        <v>1959</v>
      </c>
      <c r="AA398" s="19">
        <v>1</v>
      </c>
      <c r="AB398" s="19">
        <v>1</v>
      </c>
      <c r="AC398" s="19" t="s">
        <v>60</v>
      </c>
      <c r="AD398" s="19" t="s">
        <v>72</v>
      </c>
      <c r="AE398" s="19" t="s">
        <v>1202</v>
      </c>
      <c r="AF398" s="19"/>
    </row>
    <row r="399" spans="1:34">
      <c r="A399" s="19">
        <v>390</v>
      </c>
      <c r="B399" s="19" t="s">
        <v>1934</v>
      </c>
      <c r="C399" s="19" t="s">
        <v>1639</v>
      </c>
      <c r="D399" s="19" t="str">
        <f>HYPERLINK("http://www.henontech.com/fieldsafety/harzard/harzard_show.php?rid=7637&amp;url=harzardrecs.php","两盐一楼料库北面窗户玻璃破损，可能会造成一名操作工因风险辨识不足在窗户底下逗留时，破损尖锐的玻璃坠落划伤颈部")</f>
        <v>两盐一楼料库北面窗户玻璃破损，可能会造成一名操作工因风险辨识不足在窗户底下逗留时，破损尖锐的玻璃坠落划伤颈部</v>
      </c>
      <c r="E399" s="19" t="s">
        <v>1960</v>
      </c>
      <c r="F399" s="20" t="s">
        <v>42</v>
      </c>
      <c r="G399" s="21" t="s">
        <v>43</v>
      </c>
      <c r="H399" s="19" t="s">
        <v>44</v>
      </c>
      <c r="I399" s="19" t="s">
        <v>45</v>
      </c>
      <c r="J399" s="19" t="s">
        <v>46</v>
      </c>
      <c r="K399" s="19" t="s">
        <v>145</v>
      </c>
      <c r="L399" s="19" t="s">
        <v>48</v>
      </c>
      <c r="M399" s="19" t="s">
        <v>70</v>
      </c>
      <c r="N399" s="19" t="s">
        <v>1521</v>
      </c>
      <c r="O399" s="19" t="s">
        <v>70</v>
      </c>
      <c r="P399" s="19" t="s">
        <v>72</v>
      </c>
      <c r="Q399" s="19" t="s">
        <v>1848</v>
      </c>
      <c r="R399" s="19" t="s">
        <v>1961</v>
      </c>
      <c r="S399" s="19"/>
      <c r="T399" s="19" t="s">
        <v>54</v>
      </c>
      <c r="U399" s="19" t="s">
        <v>55</v>
      </c>
      <c r="V399" s="19" t="s">
        <v>101</v>
      </c>
      <c r="W399" s="19" t="s">
        <v>138</v>
      </c>
      <c r="X399" s="19"/>
      <c r="Y399" s="19"/>
      <c r="Z399" s="19" t="s">
        <v>1962</v>
      </c>
      <c r="AA399" s="19">
        <v>1</v>
      </c>
      <c r="AB399" s="19">
        <v>1</v>
      </c>
      <c r="AC399" s="19" t="s">
        <v>60</v>
      </c>
      <c r="AD399" s="19" t="s">
        <v>72</v>
      </c>
      <c r="AE399" s="19" t="s">
        <v>1080</v>
      </c>
      <c r="AF399" s="19"/>
    </row>
    <row r="400" spans="1:34">
      <c r="A400" s="19">
        <v>391</v>
      </c>
      <c r="B400" s="19" t="s">
        <v>1963</v>
      </c>
      <c r="C400" s="19" t="s">
        <v>1118</v>
      </c>
      <c r="D400" s="19" t="str">
        <f>HYPERLINK("http://www.henontech.com/fieldsafety/harzard/harzard_show.php?rid=8210&amp;url=harzardrecs.php","副省煤器与干熄炉连接处保温铁皮松动，巡检人员巡检到副省煤器下部时，被松动掉落的铁皮砸到巡检人员头部，送医治疗。")</f>
        <v>副省煤器与干熄炉连接处保温铁皮松动，巡检人员巡检到副省煤器下部时，被松动掉落的铁皮砸到巡检人员头部，送医治疗。</v>
      </c>
      <c r="E400" s="19" t="s">
        <v>1964</v>
      </c>
      <c r="F400" s="20" t="s">
        <v>42</v>
      </c>
      <c r="G400" s="21" t="s">
        <v>43</v>
      </c>
      <c r="H400" s="19" t="s">
        <v>44</v>
      </c>
      <c r="I400" s="19" t="s">
        <v>67</v>
      </c>
      <c r="J400" s="19" t="s">
        <v>401</v>
      </c>
      <c r="K400" s="19" t="s">
        <v>47</v>
      </c>
      <c r="L400" s="19" t="s">
        <v>48</v>
      </c>
      <c r="M400" s="19" t="s">
        <v>117</v>
      </c>
      <c r="N400" s="19" t="s">
        <v>691</v>
      </c>
      <c r="O400" s="19" t="s">
        <v>117</v>
      </c>
      <c r="P400" s="19" t="s">
        <v>876</v>
      </c>
      <c r="Q400" s="19" t="s">
        <v>1730</v>
      </c>
      <c r="R400" s="19" t="s">
        <v>1965</v>
      </c>
      <c r="S400" s="19" t="s">
        <v>1966</v>
      </c>
      <c r="T400" s="19" t="s">
        <v>54</v>
      </c>
      <c r="U400" s="19" t="s">
        <v>55</v>
      </c>
      <c r="V400" s="19" t="s">
        <v>56</v>
      </c>
      <c r="W400" s="19" t="s">
        <v>57</v>
      </c>
      <c r="X400" s="19" t="s">
        <v>58</v>
      </c>
      <c r="Y400" s="19"/>
      <c r="Z400" s="19" t="s">
        <v>1967</v>
      </c>
      <c r="AA400" s="19">
        <v>1</v>
      </c>
      <c r="AB400" s="19">
        <v>1</v>
      </c>
      <c r="AC400" s="19" t="s">
        <v>60</v>
      </c>
      <c r="AD400" s="19" t="s">
        <v>876</v>
      </c>
      <c r="AE400" s="19" t="s">
        <v>1123</v>
      </c>
      <c r="AF400" s="19" t="s">
        <v>1968</v>
      </c>
    </row>
    <row r="401" spans="1:34">
      <c r="A401" s="19">
        <v>392</v>
      </c>
      <c r="B401" s="19" t="s">
        <v>1969</v>
      </c>
      <c r="C401" s="19" t="s">
        <v>449</v>
      </c>
      <c r="D401" s="19" t="str">
        <f>HYPERLINK("http://www.henontech.com/fieldsafety/harzard/harzard_show.php?rid=9006&amp;url=harzardrecs.php","环境除尘4号灰仓北电缆桥架损坏，操作工经过放灰时破损桥架脱落，砸伤操作工左肩，造成人员伤害")</f>
        <v>环境除尘4号灰仓北电缆桥架损坏，操作工经过放灰时破损桥架脱落，砸伤操作工左肩，造成人员伤害</v>
      </c>
      <c r="E401" s="19" t="s">
        <v>1970</v>
      </c>
      <c r="F401" s="24" t="s">
        <v>387</v>
      </c>
      <c r="G401" s="21" t="s">
        <v>43</v>
      </c>
      <c r="H401" s="19" t="s">
        <v>44</v>
      </c>
      <c r="I401" s="19" t="s">
        <v>67</v>
      </c>
      <c r="J401" s="19" t="s">
        <v>46</v>
      </c>
      <c r="K401" s="19" t="s">
        <v>69</v>
      </c>
      <c r="L401" s="19" t="s">
        <v>48</v>
      </c>
      <c r="M401" s="19" t="s">
        <v>117</v>
      </c>
      <c r="N401" s="19" t="s">
        <v>1971</v>
      </c>
      <c r="O401" s="19"/>
      <c r="P401" s="19"/>
      <c r="Q401" s="19"/>
      <c r="R401" s="19" t="s">
        <v>1173</v>
      </c>
      <c r="S401" s="19" t="s">
        <v>589</v>
      </c>
      <c r="T401" s="19" t="s">
        <v>54</v>
      </c>
      <c r="U401" s="19" t="s">
        <v>75</v>
      </c>
      <c r="V401" s="19" t="s">
        <v>101</v>
      </c>
      <c r="W401" s="19" t="s">
        <v>77</v>
      </c>
      <c r="X401" s="19"/>
      <c r="Y401" s="19"/>
      <c r="Z401" s="19"/>
      <c r="AA401" s="19">
        <v>0</v>
      </c>
      <c r="AB401" s="19"/>
      <c r="AC401" s="19" t="s">
        <v>392</v>
      </c>
      <c r="AD401" s="19"/>
      <c r="AE401" s="19"/>
      <c r="AF401" s="19"/>
    </row>
    <row r="402" spans="1:34">
      <c r="A402" s="19">
        <v>393</v>
      </c>
      <c r="B402" s="19" t="s">
        <v>1969</v>
      </c>
      <c r="C402" s="19" t="s">
        <v>221</v>
      </c>
      <c r="D402" s="19" t="str">
        <f>HYPERLINK("http://www.henontech.com/fieldsafety/harzard/harzard_show.php?rid=9009&amp;url=harzardrecs.php","汽轮机零米南侧玻璃破裂，巡检工在擦拭玻璃时，不慎被破裂的玻璃划伤右前臂，送医务室包扎，限工两天。")</f>
        <v>汽轮机零米南侧玻璃破裂，巡检工在擦拭玻璃时，不慎被破裂的玻璃划伤右前臂，送医务室包扎，限工两天。</v>
      </c>
      <c r="E402" s="19" t="s">
        <v>1972</v>
      </c>
      <c r="F402" s="20" t="s">
        <v>42</v>
      </c>
      <c r="G402" s="21" t="s">
        <v>43</v>
      </c>
      <c r="H402" s="19" t="s">
        <v>974</v>
      </c>
      <c r="I402" s="19" t="s">
        <v>67</v>
      </c>
      <c r="J402" s="19" t="s">
        <v>46</v>
      </c>
      <c r="K402" s="19" t="s">
        <v>47</v>
      </c>
      <c r="L402" s="19" t="s">
        <v>48</v>
      </c>
      <c r="M402" s="19" t="s">
        <v>117</v>
      </c>
      <c r="N402" s="19" t="s">
        <v>1973</v>
      </c>
      <c r="O402" s="19" t="s">
        <v>117</v>
      </c>
      <c r="P402" s="19" t="s">
        <v>876</v>
      </c>
      <c r="Q402" s="19" t="s">
        <v>1730</v>
      </c>
      <c r="R402" s="19" t="s">
        <v>881</v>
      </c>
      <c r="S402" s="19" t="s">
        <v>1974</v>
      </c>
      <c r="T402" s="19" t="s">
        <v>54</v>
      </c>
      <c r="U402" s="19" t="s">
        <v>75</v>
      </c>
      <c r="V402" s="19" t="s">
        <v>271</v>
      </c>
      <c r="W402" s="19" t="s">
        <v>57</v>
      </c>
      <c r="X402" s="19" t="s">
        <v>58</v>
      </c>
      <c r="Y402" s="19"/>
      <c r="Z402" s="19" t="s">
        <v>1975</v>
      </c>
      <c r="AA402" s="19">
        <v>1</v>
      </c>
      <c r="AB402" s="19">
        <v>1</v>
      </c>
      <c r="AC402" s="19" t="s">
        <v>60</v>
      </c>
      <c r="AD402" s="19" t="s">
        <v>876</v>
      </c>
      <c r="AE402" s="19" t="s">
        <v>1139</v>
      </c>
      <c r="AF402" s="19" t="s">
        <v>1976</v>
      </c>
    </row>
    <row r="403" spans="1:34">
      <c r="A403" s="19">
        <v>394</v>
      </c>
      <c r="B403" s="19" t="s">
        <v>1969</v>
      </c>
      <c r="C403" s="19" t="s">
        <v>1118</v>
      </c>
      <c r="D403" s="19" t="str">
        <f>HYPERLINK("http://www.henontech.com/fieldsafety/harzard/harzard_show.php?rid=9011&amp;url=harzardrecs.php","消防水池排水沟盖板损坏，一操作人员开关阀门途径此处时踩空，右小腿掉入排水沟内被钢筋划伤。")</f>
        <v>消防水池排水沟盖板损坏，一操作人员开关阀门途径此处时踩空，右小腿掉入排水沟内被钢筋划伤。</v>
      </c>
      <c r="E403" s="19" t="s">
        <v>1977</v>
      </c>
      <c r="F403" s="20" t="s">
        <v>42</v>
      </c>
      <c r="G403" s="21" t="s">
        <v>43</v>
      </c>
      <c r="H403" s="19" t="s">
        <v>44</v>
      </c>
      <c r="I403" s="19" t="s">
        <v>45</v>
      </c>
      <c r="J403" s="19"/>
      <c r="K403" s="19"/>
      <c r="L403" s="19"/>
      <c r="M403" s="19" t="s">
        <v>117</v>
      </c>
      <c r="N403" s="19" t="s">
        <v>1541</v>
      </c>
      <c r="O403" s="19" t="s">
        <v>117</v>
      </c>
      <c r="P403" s="19" t="s">
        <v>876</v>
      </c>
      <c r="Q403" s="19" t="s">
        <v>1730</v>
      </c>
      <c r="R403" s="19" t="s">
        <v>1978</v>
      </c>
      <c r="S403" s="19" t="s">
        <v>1979</v>
      </c>
      <c r="T403" s="19" t="s">
        <v>54</v>
      </c>
      <c r="U403" s="19" t="s">
        <v>55</v>
      </c>
      <c r="V403" s="19" t="s">
        <v>56</v>
      </c>
      <c r="W403" s="19" t="s">
        <v>57</v>
      </c>
      <c r="X403" s="19" t="s">
        <v>58</v>
      </c>
      <c r="Y403" s="19"/>
      <c r="Z403" s="19" t="s">
        <v>1556</v>
      </c>
      <c r="AA403" s="19">
        <v>1</v>
      </c>
      <c r="AB403" s="19">
        <v>1</v>
      </c>
      <c r="AC403" s="19" t="s">
        <v>60</v>
      </c>
      <c r="AD403" s="19" t="s">
        <v>876</v>
      </c>
      <c r="AE403" s="19" t="s">
        <v>1139</v>
      </c>
      <c r="AF403" s="19" t="s">
        <v>1980</v>
      </c>
    </row>
    <row r="404" spans="1:34">
      <c r="A404" s="19">
        <v>395</v>
      </c>
      <c r="B404" s="19" t="s">
        <v>1969</v>
      </c>
      <c r="C404" s="19" t="s">
        <v>1118</v>
      </c>
      <c r="D404" s="19" t="str">
        <f>HYPERLINK("http://www.henontech.com/fieldsafety/harzard/harzard_show.php?rid=9047&amp;url=harzardrecs.php","提升机7层，灯杆腐蚀严重歪倒，夜间巡检时，因照明不足巡检人员绊倒跌落至地面，当场死亡。")</f>
        <v>提升机7层，灯杆腐蚀严重歪倒，夜间巡检时，因照明不足巡检人员绊倒跌落至地面，当场死亡。</v>
      </c>
      <c r="E404" s="19" t="s">
        <v>1981</v>
      </c>
      <c r="F404" s="20" t="s">
        <v>42</v>
      </c>
      <c r="G404" s="21" t="s">
        <v>43</v>
      </c>
      <c r="H404" s="19" t="s">
        <v>44</v>
      </c>
      <c r="I404" s="19"/>
      <c r="J404" s="19" t="s">
        <v>46</v>
      </c>
      <c r="K404" s="19" t="s">
        <v>209</v>
      </c>
      <c r="L404" s="19"/>
      <c r="M404" s="19" t="s">
        <v>117</v>
      </c>
      <c r="N404" s="19" t="s">
        <v>1982</v>
      </c>
      <c r="O404" s="19" t="s">
        <v>117</v>
      </c>
      <c r="P404" s="19" t="s">
        <v>876</v>
      </c>
      <c r="Q404" s="19" t="s">
        <v>1730</v>
      </c>
      <c r="R404" s="19" t="s">
        <v>1983</v>
      </c>
      <c r="S404" s="19" t="s">
        <v>1984</v>
      </c>
      <c r="T404" s="19" t="s">
        <v>54</v>
      </c>
      <c r="U404" s="19" t="s">
        <v>121</v>
      </c>
      <c r="V404" s="19" t="s">
        <v>271</v>
      </c>
      <c r="W404" s="19" t="s">
        <v>122</v>
      </c>
      <c r="X404" s="19" t="s">
        <v>58</v>
      </c>
      <c r="Y404" s="19"/>
      <c r="Z404" s="19" t="s">
        <v>1985</v>
      </c>
      <c r="AA404" s="19">
        <v>1</v>
      </c>
      <c r="AB404" s="19">
        <v>1</v>
      </c>
      <c r="AC404" s="19" t="s">
        <v>60</v>
      </c>
      <c r="AD404" s="19" t="s">
        <v>876</v>
      </c>
      <c r="AE404" s="19" t="s">
        <v>1123</v>
      </c>
      <c r="AF404" s="19" t="s">
        <v>1986</v>
      </c>
    </row>
    <row r="405" spans="1:34">
      <c r="A405" s="19">
        <v>396</v>
      </c>
      <c r="B405" s="19" t="s">
        <v>1969</v>
      </c>
      <c r="C405" s="19" t="s">
        <v>1133</v>
      </c>
      <c r="D405" s="19" t="str">
        <f>HYPERLINK("http://www.henontech.com/fieldsafety/harzard/harzard_show.php?rid=9305&amp;url=harzardrecs.php","除盐水站工作人员加碱时，因电缆支撑架过长，工作人员被绊倒，导致面部磕伤，肩关节脱臼，多处软组织挫裂伤")</f>
        <v>除盐水站工作人员加碱时，因电缆支撑架过长，工作人员被绊倒，导致面部磕伤，肩关节脱臼，多处软组织挫裂伤</v>
      </c>
      <c r="E405" s="19" t="s">
        <v>1987</v>
      </c>
      <c r="F405" s="20" t="s">
        <v>42</v>
      </c>
      <c r="G405" s="21" t="s">
        <v>43</v>
      </c>
      <c r="H405" s="19" t="s">
        <v>44</v>
      </c>
      <c r="I405" s="19" t="s">
        <v>67</v>
      </c>
      <c r="J405" s="19" t="s">
        <v>46</v>
      </c>
      <c r="K405" s="19" t="s">
        <v>47</v>
      </c>
      <c r="L405" s="19" t="s">
        <v>48</v>
      </c>
      <c r="M405" s="19" t="s">
        <v>117</v>
      </c>
      <c r="N405" s="19" t="s">
        <v>1737</v>
      </c>
      <c r="O405" s="19" t="s">
        <v>117</v>
      </c>
      <c r="P405" s="19" t="s">
        <v>876</v>
      </c>
      <c r="Q405" s="19" t="s">
        <v>1123</v>
      </c>
      <c r="R405" s="19" t="s">
        <v>1133</v>
      </c>
      <c r="S405" s="19" t="s">
        <v>1988</v>
      </c>
      <c r="T405" s="19" t="s">
        <v>54</v>
      </c>
      <c r="U405" s="19" t="s">
        <v>55</v>
      </c>
      <c r="V405" s="19" t="s">
        <v>271</v>
      </c>
      <c r="W405" s="19" t="s">
        <v>122</v>
      </c>
      <c r="X405" s="19" t="s">
        <v>58</v>
      </c>
      <c r="Y405" s="19"/>
      <c r="Z405" s="19" t="s">
        <v>1989</v>
      </c>
      <c r="AA405" s="19">
        <v>1</v>
      </c>
      <c r="AB405" s="19">
        <v>1</v>
      </c>
      <c r="AC405" s="19" t="s">
        <v>60</v>
      </c>
      <c r="AD405" s="19" t="s">
        <v>876</v>
      </c>
      <c r="AE405" s="19" t="s">
        <v>1139</v>
      </c>
      <c r="AF405" s="19" t="s">
        <v>1990</v>
      </c>
    </row>
    <row r="406" spans="1:34">
      <c r="A406" s="19">
        <v>397</v>
      </c>
      <c r="B406" s="19" t="s">
        <v>1969</v>
      </c>
      <c r="C406" s="19" t="s">
        <v>1387</v>
      </c>
      <c r="D406" s="19" t="str">
        <f>HYPERLINK("http://www.henontech.com/fieldsafety/harzard/harzard_show.php?rid=9341&amp;url=harzardrecs.php","4号水封排水管未经水封直接通入地沟，造成煤气聚集超标存在人员中毒或着火爆炸风险，如果三人在周围检修动火作业，因检修人员风险源辨识不足，防范措施不到位，可能引发着火爆炸事故")</f>
        <v>4号水封排水管未经水封直接通入地沟，造成煤气聚集超标存在人员中毒或着火爆炸风险，如果三人在周围检修动火作业，因检修人员风险源辨识不足，防范措施不到位，可能引发着火爆炸事故</v>
      </c>
      <c r="E406" s="19" t="s">
        <v>1991</v>
      </c>
      <c r="F406" s="20" t="s">
        <v>42</v>
      </c>
      <c r="G406" s="21" t="s">
        <v>43</v>
      </c>
      <c r="H406" s="19" t="s">
        <v>44</v>
      </c>
      <c r="I406" s="19" t="s">
        <v>45</v>
      </c>
      <c r="J406" s="19" t="s">
        <v>46</v>
      </c>
      <c r="K406" s="19" t="s">
        <v>1992</v>
      </c>
      <c r="L406" s="19" t="s">
        <v>48</v>
      </c>
      <c r="M406" s="19" t="s">
        <v>70</v>
      </c>
      <c r="N406" s="19" t="s">
        <v>1993</v>
      </c>
      <c r="O406" s="19" t="s">
        <v>70</v>
      </c>
      <c r="P406" s="19" t="s">
        <v>72</v>
      </c>
      <c r="Q406" s="19" t="s">
        <v>1848</v>
      </c>
      <c r="R406" s="19" t="s">
        <v>1994</v>
      </c>
      <c r="S406" s="19"/>
      <c r="T406" s="19" t="s">
        <v>54</v>
      </c>
      <c r="U406" s="19" t="s">
        <v>121</v>
      </c>
      <c r="V406" s="19" t="s">
        <v>56</v>
      </c>
      <c r="W406" s="19" t="s">
        <v>122</v>
      </c>
      <c r="X406" s="19"/>
      <c r="Y406" s="19"/>
      <c r="Z406" s="19" t="s">
        <v>1995</v>
      </c>
      <c r="AA406" s="19">
        <v>1</v>
      </c>
      <c r="AB406" s="19">
        <v>1</v>
      </c>
      <c r="AC406" s="19" t="s">
        <v>60</v>
      </c>
      <c r="AD406" s="19" t="s">
        <v>72</v>
      </c>
      <c r="AE406" s="19" t="s">
        <v>1080</v>
      </c>
      <c r="AF406" s="19"/>
    </row>
    <row r="407" spans="1:34">
      <c r="A407" s="19">
        <v>398</v>
      </c>
      <c r="B407" s="19" t="s">
        <v>1996</v>
      </c>
      <c r="C407" s="19" t="s">
        <v>1262</v>
      </c>
      <c r="D407" s="19" t="str">
        <f>HYPERLINK("http://www.henontech.com/fieldsafety/harzard/harzard_show.php?rid=10040&amp;url=harzardrecs.php","粗苯氮气管线法兰漏气，如果一名巡检工巡查到法兰漏气处，会造气巡检工氮气窒息，经送医诊断，轻微中毒。")</f>
        <v>粗苯氮气管线法兰漏气，如果一名巡检工巡查到法兰漏气处，会造气巡检工氮气窒息，经送医诊断，轻微中毒。</v>
      </c>
      <c r="E407" s="19" t="s">
        <v>1997</v>
      </c>
      <c r="F407" s="20" t="s">
        <v>42</v>
      </c>
      <c r="G407" s="21" t="s">
        <v>43</v>
      </c>
      <c r="H407" s="19" t="s">
        <v>44</v>
      </c>
      <c r="I407" s="19" t="s">
        <v>67</v>
      </c>
      <c r="J407" s="19" t="s">
        <v>1998</v>
      </c>
      <c r="K407" s="19" t="s">
        <v>145</v>
      </c>
      <c r="L407" s="19" t="s">
        <v>48</v>
      </c>
      <c r="M407" s="19" t="s">
        <v>70</v>
      </c>
      <c r="N407" s="19" t="s">
        <v>1999</v>
      </c>
      <c r="O407" s="19" t="s">
        <v>70</v>
      </c>
      <c r="P407" s="19" t="s">
        <v>72</v>
      </c>
      <c r="Q407" s="19" t="s">
        <v>1848</v>
      </c>
      <c r="R407" s="19" t="s">
        <v>2000</v>
      </c>
      <c r="S407" s="19"/>
      <c r="T407" s="19" t="s">
        <v>54</v>
      </c>
      <c r="U407" s="19" t="s">
        <v>55</v>
      </c>
      <c r="V407" s="19" t="s">
        <v>101</v>
      </c>
      <c r="W407" s="19" t="s">
        <v>138</v>
      </c>
      <c r="X407" s="19"/>
      <c r="Y407" s="19"/>
      <c r="Z407" s="19" t="s">
        <v>2001</v>
      </c>
      <c r="AA407" s="19">
        <v>1</v>
      </c>
      <c r="AB407" s="19">
        <v>1</v>
      </c>
      <c r="AC407" s="19" t="s">
        <v>60</v>
      </c>
      <c r="AD407" s="19" t="s">
        <v>72</v>
      </c>
      <c r="AE407" s="19" t="s">
        <v>1202</v>
      </c>
      <c r="AF407" s="19"/>
    </row>
    <row r="408" spans="1:34">
      <c r="A408" s="19">
        <v>399</v>
      </c>
      <c r="B408" s="19" t="s">
        <v>1996</v>
      </c>
      <c r="C408" s="19" t="s">
        <v>2002</v>
      </c>
      <c r="D408" s="19" t="str">
        <f>HYPERLINK("http://www.henontech.com/fieldsafety/harzard/harzard_show.php?rid=10094&amp;url=harzardrecs.php","老凉水架爬梯开焊，如果一名操作工上凉水架巡检时扶手未把牢，可能会造成滑倒脚部扭伤，经住院治疗一周，在家修养30天后复工。")</f>
        <v>老凉水架爬梯开焊，如果一名操作工上凉水架巡检时扶手未把牢，可能会造成滑倒脚部扭伤，经住院治疗一周，在家修养30天后复工。</v>
      </c>
      <c r="E408" s="19" t="s">
        <v>2003</v>
      </c>
      <c r="F408" s="20" t="s">
        <v>42</v>
      </c>
      <c r="G408" s="21" t="s">
        <v>43</v>
      </c>
      <c r="H408" s="19" t="s">
        <v>974</v>
      </c>
      <c r="I408" s="19" t="s">
        <v>45</v>
      </c>
      <c r="J408" s="19" t="s">
        <v>46</v>
      </c>
      <c r="K408" s="19" t="s">
        <v>69</v>
      </c>
      <c r="L408" s="19" t="s">
        <v>48</v>
      </c>
      <c r="M408" s="19" t="s">
        <v>70</v>
      </c>
      <c r="N408" s="19" t="s">
        <v>2004</v>
      </c>
      <c r="O408" s="19" t="s">
        <v>70</v>
      </c>
      <c r="P408" s="19" t="s">
        <v>72</v>
      </c>
      <c r="Q408" s="19" t="s">
        <v>1895</v>
      </c>
      <c r="R408" s="19" t="s">
        <v>1607</v>
      </c>
      <c r="S408" s="19"/>
      <c r="T408" s="19" t="s">
        <v>54</v>
      </c>
      <c r="U408" s="19" t="s">
        <v>55</v>
      </c>
      <c r="V408" s="19" t="s">
        <v>101</v>
      </c>
      <c r="W408" s="19" t="s">
        <v>138</v>
      </c>
      <c r="X408" s="19"/>
      <c r="Y408" s="19"/>
      <c r="Z408" s="19" t="s">
        <v>1394</v>
      </c>
      <c r="AA408" s="19">
        <v>1</v>
      </c>
      <c r="AB408" s="19">
        <v>1</v>
      </c>
      <c r="AC408" s="19" t="s">
        <v>60</v>
      </c>
      <c r="AD408" s="19" t="s">
        <v>72</v>
      </c>
      <c r="AE408" s="19" t="s">
        <v>1202</v>
      </c>
      <c r="AF408" s="19"/>
    </row>
    <row r="409" spans="1:34" customHeight="1" ht="42">
      <c r="A409" s="19">
        <v>400</v>
      </c>
      <c r="B409" s="19" t="s">
        <v>1996</v>
      </c>
      <c r="C409" s="19" t="s">
        <v>2005</v>
      </c>
      <c r="D409" s="19" t="str">
        <f>HYPERLINK("http://www.henontech.com/fieldsafety/harzard/harzard_show.php?rid=10124&amp;url=harzardrecs.php","西三平面灯不亮，操作工在清理卫生时，光线太暗被绊倒擦伤")</f>
        <v>西三平面灯不亮，操作工在清理卫生时，光线太暗被绊倒擦伤</v>
      </c>
      <c r="E409" s="19" t="s">
        <v>2006</v>
      </c>
      <c r="F409" s="20" t="s">
        <v>42</v>
      </c>
      <c r="G409" s="21" t="s">
        <v>43</v>
      </c>
      <c r="H409" s="19" t="s">
        <v>44</v>
      </c>
      <c r="I409" s="19"/>
      <c r="J409" s="19" t="s">
        <v>46</v>
      </c>
      <c r="K409" s="19"/>
      <c r="L409" s="19"/>
      <c r="M409" s="19" t="s">
        <v>285</v>
      </c>
      <c r="N409" s="19" t="s">
        <v>2007</v>
      </c>
      <c r="O409" s="19" t="s">
        <v>285</v>
      </c>
      <c r="P409" s="19" t="s">
        <v>617</v>
      </c>
      <c r="Q409" s="19" t="s">
        <v>2008</v>
      </c>
      <c r="R409" s="19" t="s">
        <v>382</v>
      </c>
      <c r="S409" s="19"/>
      <c r="T409" s="19" t="s">
        <v>54</v>
      </c>
      <c r="U409" s="19" t="s">
        <v>75</v>
      </c>
      <c r="V409" s="19" t="s">
        <v>76</v>
      </c>
      <c r="W409" s="19" t="s">
        <v>77</v>
      </c>
      <c r="X409" s="19" t="s">
        <v>235</v>
      </c>
      <c r="Y409" s="19" t="s">
        <v>235</v>
      </c>
      <c r="Z409" s="19" t="s">
        <v>2009</v>
      </c>
      <c r="AA409" s="19">
        <v>2</v>
      </c>
      <c r="AB409" s="19">
        <v>2</v>
      </c>
      <c r="AC409" s="19" t="s">
        <v>60</v>
      </c>
      <c r="AD409" s="19" t="s">
        <v>617</v>
      </c>
      <c r="AE409" s="19" t="s">
        <v>1707</v>
      </c>
      <c r="AF409" s="19"/>
    </row>
    <row r="410" spans="1:34">
      <c r="A410" s="19">
        <v>401</v>
      </c>
      <c r="B410" s="19" t="s">
        <v>2010</v>
      </c>
      <c r="C410" s="19" t="s">
        <v>1118</v>
      </c>
      <c r="D410" s="19" t="str">
        <f>HYPERLINK("http://www.henontech.com/fieldsafety/harzard/harzard_show.php?rid=10154&amp;url=harzardrecs.php","干熄焦锅炉三层加药间铁板开焊翘起，一巡检人员加药时不慎被翘起的铁板拌倒，人员扑倒在地面上，面部着地，造成面部擦伤，鼻骨骨折，送医就治。")</f>
        <v>干熄焦锅炉三层加药间铁板开焊翘起，一巡检人员加药时不慎被翘起的铁板拌倒，人员扑倒在地面上，面部着地，造成面部擦伤，鼻骨骨折，送医就治。</v>
      </c>
      <c r="E410" s="19" t="s">
        <v>2011</v>
      </c>
      <c r="F410" s="20" t="s">
        <v>42</v>
      </c>
      <c r="G410" s="21" t="s">
        <v>43</v>
      </c>
      <c r="H410" s="19" t="s">
        <v>44</v>
      </c>
      <c r="I410" s="19"/>
      <c r="J410" s="19" t="s">
        <v>46</v>
      </c>
      <c r="K410" s="19" t="s">
        <v>145</v>
      </c>
      <c r="L410" s="19" t="s">
        <v>48</v>
      </c>
      <c r="M410" s="19" t="s">
        <v>117</v>
      </c>
      <c r="N410" s="19" t="s">
        <v>1172</v>
      </c>
      <c r="O410" s="19" t="s">
        <v>117</v>
      </c>
      <c r="P410" s="19" t="s">
        <v>937</v>
      </c>
      <c r="Q410" s="19" t="s">
        <v>1409</v>
      </c>
      <c r="R410" s="19" t="s">
        <v>2012</v>
      </c>
      <c r="S410" s="19" t="s">
        <v>2013</v>
      </c>
      <c r="T410" s="19" t="s">
        <v>54</v>
      </c>
      <c r="U410" s="19" t="s">
        <v>55</v>
      </c>
      <c r="V410" s="19" t="s">
        <v>56</v>
      </c>
      <c r="W410" s="19" t="s">
        <v>57</v>
      </c>
      <c r="X410" s="19" t="s">
        <v>123</v>
      </c>
      <c r="Y410" s="19" t="s">
        <v>123</v>
      </c>
      <c r="Z410" s="19" t="s">
        <v>2014</v>
      </c>
      <c r="AA410" s="19">
        <v>1</v>
      </c>
      <c r="AB410" s="19">
        <v>1</v>
      </c>
      <c r="AC410" s="19" t="s">
        <v>60</v>
      </c>
      <c r="AD410" s="19" t="s">
        <v>937</v>
      </c>
      <c r="AE410" s="19" t="s">
        <v>1132</v>
      </c>
      <c r="AF410" s="19" t="s">
        <v>2015</v>
      </c>
    </row>
    <row r="411" spans="1:34">
      <c r="A411" s="19">
        <v>402</v>
      </c>
      <c r="B411" s="19" t="s">
        <v>1351</v>
      </c>
      <c r="C411" s="19" t="s">
        <v>1712</v>
      </c>
      <c r="D411" s="19" t="str">
        <f>HYPERLINK("http://www.henontech.com/fieldsafety/harzard/harzard_show.php?rid=10175&amp;url=harzardrecs.php","氨水过滤器爬梯无安全警示牌，假如一名操作工在上爬梯时，安全意识不强，滑倒在地，脚部扭伤，立即就医。")</f>
        <v>氨水过滤器爬梯无安全警示牌，假如一名操作工在上爬梯时，安全意识不强，滑倒在地，脚部扭伤，立即就医。</v>
      </c>
      <c r="E411" s="19" t="s">
        <v>2016</v>
      </c>
      <c r="F411" s="20" t="s">
        <v>42</v>
      </c>
      <c r="G411" s="21" t="s">
        <v>43</v>
      </c>
      <c r="H411" s="19" t="s">
        <v>44</v>
      </c>
      <c r="I411" s="19" t="s">
        <v>45</v>
      </c>
      <c r="J411" s="19" t="s">
        <v>46</v>
      </c>
      <c r="K411" s="19" t="s">
        <v>69</v>
      </c>
      <c r="L411" s="19" t="s">
        <v>48</v>
      </c>
      <c r="M411" s="19" t="s">
        <v>70</v>
      </c>
      <c r="N411" s="19" t="s">
        <v>784</v>
      </c>
      <c r="O411" s="19" t="s">
        <v>70</v>
      </c>
      <c r="P411" s="19" t="s">
        <v>72</v>
      </c>
      <c r="Q411" s="19" t="s">
        <v>1848</v>
      </c>
      <c r="R411" s="19" t="s">
        <v>2017</v>
      </c>
      <c r="S411" s="19"/>
      <c r="T411" s="19" t="s">
        <v>54</v>
      </c>
      <c r="U411" s="19" t="s">
        <v>55</v>
      </c>
      <c r="V411" s="19" t="s">
        <v>56</v>
      </c>
      <c r="W411" s="19" t="s">
        <v>57</v>
      </c>
      <c r="X411" s="19"/>
      <c r="Y411" s="19"/>
      <c r="Z411" s="19" t="s">
        <v>1897</v>
      </c>
      <c r="AA411" s="19">
        <v>1</v>
      </c>
      <c r="AB411" s="19">
        <v>1</v>
      </c>
      <c r="AC411" s="19" t="s">
        <v>60</v>
      </c>
      <c r="AD411" s="19" t="s">
        <v>72</v>
      </c>
      <c r="AE411" s="19" t="s">
        <v>1074</v>
      </c>
      <c r="AF411" s="19"/>
    </row>
    <row r="412" spans="1:34">
      <c r="A412" s="19">
        <v>403</v>
      </c>
      <c r="B412" s="19" t="s">
        <v>2010</v>
      </c>
      <c r="C412" s="19" t="s">
        <v>1118</v>
      </c>
      <c r="D412" s="19" t="str">
        <f>HYPERLINK("http://www.henontech.com/fieldsafety/harzard/harzard_show.php?rid=10199&amp;url=harzardrecs.php","循环水加药间爬梯无护栏，一员工在加硫酸时，不慎脚底踩空，身体失去平衡，跌落至地面，送医救治，确诊为右侧膝盖骨骨裂。")</f>
        <v>循环水加药间爬梯无护栏，一员工在加硫酸时，不慎脚底踩空，身体失去平衡，跌落至地面，送医救治，确诊为右侧膝盖骨骨裂。</v>
      </c>
      <c r="E412" s="19" t="s">
        <v>2018</v>
      </c>
      <c r="F412" s="20" t="s">
        <v>42</v>
      </c>
      <c r="G412" s="21" t="s">
        <v>43</v>
      </c>
      <c r="H412" s="19" t="s">
        <v>44</v>
      </c>
      <c r="I412" s="19" t="s">
        <v>67</v>
      </c>
      <c r="J412" s="19" t="s">
        <v>46</v>
      </c>
      <c r="K412" s="19" t="s">
        <v>145</v>
      </c>
      <c r="L412" s="19" t="s">
        <v>48</v>
      </c>
      <c r="M412" s="19" t="s">
        <v>117</v>
      </c>
      <c r="N412" s="19" t="s">
        <v>1149</v>
      </c>
      <c r="O412" s="19" t="s">
        <v>117</v>
      </c>
      <c r="P412" s="19" t="s">
        <v>937</v>
      </c>
      <c r="Q412" s="19" t="s">
        <v>1409</v>
      </c>
      <c r="R412" s="19" t="s">
        <v>317</v>
      </c>
      <c r="S412" s="19" t="s">
        <v>1720</v>
      </c>
      <c r="T412" s="19" t="s">
        <v>54</v>
      </c>
      <c r="U412" s="19" t="s">
        <v>55</v>
      </c>
      <c r="V412" s="19" t="s">
        <v>56</v>
      </c>
      <c r="W412" s="19" t="s">
        <v>57</v>
      </c>
      <c r="X412" s="19" t="s">
        <v>123</v>
      </c>
      <c r="Y412" s="19" t="s">
        <v>123</v>
      </c>
      <c r="Z412" s="19" t="s">
        <v>2019</v>
      </c>
      <c r="AA412" s="19">
        <v>1</v>
      </c>
      <c r="AB412" s="19">
        <v>0</v>
      </c>
      <c r="AC412" s="19" t="s">
        <v>60</v>
      </c>
      <c r="AD412" s="19" t="s">
        <v>937</v>
      </c>
      <c r="AE412" s="19" t="s">
        <v>1132</v>
      </c>
      <c r="AF412" s="19" t="s">
        <v>2020</v>
      </c>
    </row>
    <row r="413" spans="1:34">
      <c r="A413" s="19">
        <v>404</v>
      </c>
      <c r="B413" s="19" t="s">
        <v>2010</v>
      </c>
      <c r="C413" s="19" t="s">
        <v>1118</v>
      </c>
      <c r="D413" s="19" t="str">
        <f>HYPERLINK("http://www.henontech.com/fieldsafety/harzard/harzard_show.php?rid=10250&amp;url=harzardrecs.php","东地面除尘电机接地线开焊，一巡检人员在巡检东地面除尘电机时，用听棒检查电机时不慎触电，送医治疗，抢救无效死亡")</f>
        <v>东地面除尘电机接地线开焊，一巡检人员在巡检东地面除尘电机时，用听棒检查电机时不慎触电，送医治疗，抢救无效死亡</v>
      </c>
      <c r="E413" s="19" t="s">
        <v>512</v>
      </c>
      <c r="F413" s="20" t="s">
        <v>42</v>
      </c>
      <c r="G413" s="21" t="s">
        <v>43</v>
      </c>
      <c r="H413" s="19" t="s">
        <v>44</v>
      </c>
      <c r="I413" s="19"/>
      <c r="J413" s="19" t="s">
        <v>202</v>
      </c>
      <c r="K413" s="19"/>
      <c r="L413" s="19"/>
      <c r="M413" s="19" t="s">
        <v>117</v>
      </c>
      <c r="N413" s="19" t="s">
        <v>1167</v>
      </c>
      <c r="O413" s="19" t="s">
        <v>117</v>
      </c>
      <c r="P413" s="19" t="s">
        <v>937</v>
      </c>
      <c r="Q413" s="19" t="s">
        <v>1409</v>
      </c>
      <c r="R413" s="19" t="s">
        <v>1601</v>
      </c>
      <c r="S413" s="19" t="s">
        <v>1720</v>
      </c>
      <c r="T413" s="19" t="s">
        <v>54</v>
      </c>
      <c r="U413" s="19" t="s">
        <v>121</v>
      </c>
      <c r="V413" s="19" t="s">
        <v>56</v>
      </c>
      <c r="W413" s="19" t="s">
        <v>122</v>
      </c>
      <c r="X413" s="19" t="s">
        <v>123</v>
      </c>
      <c r="Y413" s="19" t="s">
        <v>123</v>
      </c>
      <c r="Z413" s="19" t="s">
        <v>2021</v>
      </c>
      <c r="AA413" s="19">
        <v>1</v>
      </c>
      <c r="AB413" s="19">
        <v>1</v>
      </c>
      <c r="AC413" s="19" t="s">
        <v>60</v>
      </c>
      <c r="AD413" s="19" t="s">
        <v>937</v>
      </c>
      <c r="AE413" s="19" t="s">
        <v>1132</v>
      </c>
      <c r="AF413" s="19" t="s">
        <v>2015</v>
      </c>
    </row>
    <row r="414" spans="1:34">
      <c r="A414" s="19">
        <v>405</v>
      </c>
      <c r="B414" s="19" t="s">
        <v>2010</v>
      </c>
      <c r="C414" s="19" t="s">
        <v>449</v>
      </c>
      <c r="D414" s="19" t="str">
        <f>HYPERLINK("http://www.henontech.com/fieldsafety/harzard/harzard_show.php?rid=10267&amp;url=harzardrecs.php","环境除尘三层平台有杂物，一名工作人员从地面经过，大风天气杂物从20米平台刮落砸到人员头部。")</f>
        <v>环境除尘三层平台有杂物，一名工作人员从地面经过，大风天气杂物从20米平台刮落砸到人员头部。</v>
      </c>
      <c r="E414" s="19" t="s">
        <v>2022</v>
      </c>
      <c r="F414" s="20" t="s">
        <v>42</v>
      </c>
      <c r="G414" s="21" t="s">
        <v>43</v>
      </c>
      <c r="H414" s="19" t="s">
        <v>44</v>
      </c>
      <c r="I414" s="19" t="s">
        <v>67</v>
      </c>
      <c r="J414" s="19" t="s">
        <v>46</v>
      </c>
      <c r="K414" s="19" t="s">
        <v>69</v>
      </c>
      <c r="L414" s="19"/>
      <c r="M414" s="19" t="s">
        <v>117</v>
      </c>
      <c r="N414" s="19" t="s">
        <v>1001</v>
      </c>
      <c r="O414" s="19" t="s">
        <v>117</v>
      </c>
      <c r="P414" s="19" t="s">
        <v>635</v>
      </c>
      <c r="Q414" s="19" t="s">
        <v>1409</v>
      </c>
      <c r="R414" s="19" t="s">
        <v>1173</v>
      </c>
      <c r="S414" s="19" t="s">
        <v>1720</v>
      </c>
      <c r="T414" s="19" t="s">
        <v>54</v>
      </c>
      <c r="U414" s="19" t="s">
        <v>55</v>
      </c>
      <c r="V414" s="19" t="s">
        <v>101</v>
      </c>
      <c r="W414" s="19" t="s">
        <v>138</v>
      </c>
      <c r="X414" s="19" t="s">
        <v>123</v>
      </c>
      <c r="Y414" s="19" t="s">
        <v>123</v>
      </c>
      <c r="Z414" s="19" t="s">
        <v>2023</v>
      </c>
      <c r="AA414" s="19">
        <v>1</v>
      </c>
      <c r="AB414" s="19">
        <v>1</v>
      </c>
      <c r="AC414" s="19" t="s">
        <v>60</v>
      </c>
      <c r="AD414" s="19" t="s">
        <v>635</v>
      </c>
      <c r="AE414" s="19" t="s">
        <v>1132</v>
      </c>
      <c r="AF414" s="19" t="s">
        <v>1815</v>
      </c>
    </row>
    <row r="415" spans="1:34">
      <c r="A415" s="19">
        <v>406</v>
      </c>
      <c r="B415" s="19" t="s">
        <v>1848</v>
      </c>
      <c r="C415" s="19" t="s">
        <v>2024</v>
      </c>
      <c r="D415" s="19" t="str">
        <f>HYPERLINK("http://www.henontech.com/fieldsafety/harzard/harzard_show.php?rid=10299&amp;url=harzardrecs.php","MVR二楼原料管入料管线漏液，操作工在巡查时不小心被原料液溅入眼内，用清水清洗后休息片刻，再复工。")</f>
        <v>MVR二楼原料管入料管线漏液，操作工在巡查时不小心被原料液溅入眼内，用清水清洗后休息片刻，再复工。</v>
      </c>
      <c r="E415" s="19" t="s">
        <v>2025</v>
      </c>
      <c r="F415" s="20" t="s">
        <v>42</v>
      </c>
      <c r="G415" s="21" t="s">
        <v>43</v>
      </c>
      <c r="H415" s="19" t="s">
        <v>44</v>
      </c>
      <c r="I415" s="19" t="s">
        <v>45</v>
      </c>
      <c r="J415" s="19" t="s">
        <v>46</v>
      </c>
      <c r="K415" s="19" t="s">
        <v>145</v>
      </c>
      <c r="L415" s="19" t="s">
        <v>48</v>
      </c>
      <c r="M415" s="19" t="s">
        <v>70</v>
      </c>
      <c r="N415" s="19" t="s">
        <v>2026</v>
      </c>
      <c r="O415" s="19" t="s">
        <v>70</v>
      </c>
      <c r="P415" s="19" t="s">
        <v>72</v>
      </c>
      <c r="Q415" s="19" t="s">
        <v>1322</v>
      </c>
      <c r="R415" s="19" t="s">
        <v>70</v>
      </c>
      <c r="S415" s="19"/>
      <c r="T415" s="19" t="s">
        <v>54</v>
      </c>
      <c r="U415" s="19" t="s">
        <v>75</v>
      </c>
      <c r="V415" s="19" t="s">
        <v>56</v>
      </c>
      <c r="W415" s="19" t="s">
        <v>138</v>
      </c>
      <c r="X415" s="19"/>
      <c r="Y415" s="19"/>
      <c r="Z415" s="19" t="s">
        <v>2027</v>
      </c>
      <c r="AA415" s="19">
        <v>1</v>
      </c>
      <c r="AB415" s="19">
        <v>1</v>
      </c>
      <c r="AC415" s="19" t="s">
        <v>60</v>
      </c>
      <c r="AD415" s="19" t="s">
        <v>72</v>
      </c>
      <c r="AE415" s="19" t="s">
        <v>1953</v>
      </c>
      <c r="AF415" s="19"/>
    </row>
    <row r="416" spans="1:34">
      <c r="A416" s="19">
        <v>407</v>
      </c>
      <c r="B416" s="19" t="s">
        <v>2028</v>
      </c>
      <c r="C416" s="19" t="s">
        <v>449</v>
      </c>
      <c r="D416" s="19" t="str">
        <f>HYPERLINK("http://www.henontech.com/fieldsafety/harzard/harzard_show.php?rid=10361&amp;url=harzardrecs.php","干熄焦环境除尘爬梯腐蚀严重，一名巡检工在巡检时，下爬梯时左脚被拌倒身体失去重心后，从二楼平台滚下，送医后住院疗养3个月")</f>
        <v>干熄焦环境除尘爬梯腐蚀严重，一名巡检工在巡检时，下爬梯时左脚被拌倒身体失去重心后，从二楼平台滚下，送医后住院疗养3个月</v>
      </c>
      <c r="E416" s="19" t="s">
        <v>2029</v>
      </c>
      <c r="F416" s="20" t="s">
        <v>42</v>
      </c>
      <c r="G416" s="21" t="s">
        <v>43</v>
      </c>
      <c r="H416" s="19" t="s">
        <v>44</v>
      </c>
      <c r="I416" s="19" t="s">
        <v>83</v>
      </c>
      <c r="J416" s="19" t="s">
        <v>46</v>
      </c>
      <c r="K416" s="19" t="s">
        <v>145</v>
      </c>
      <c r="L416" s="19" t="s">
        <v>48</v>
      </c>
      <c r="M416" s="19" t="s">
        <v>117</v>
      </c>
      <c r="N416" s="19" t="s">
        <v>1338</v>
      </c>
      <c r="O416" s="19" t="s">
        <v>117</v>
      </c>
      <c r="P416" s="19" t="s">
        <v>635</v>
      </c>
      <c r="Q416" s="19" t="s">
        <v>1409</v>
      </c>
      <c r="R416" s="19" t="s">
        <v>2030</v>
      </c>
      <c r="S416" s="19" t="s">
        <v>2031</v>
      </c>
      <c r="T416" s="19" t="s">
        <v>54</v>
      </c>
      <c r="U416" s="19" t="s">
        <v>55</v>
      </c>
      <c r="V416" s="19" t="s">
        <v>101</v>
      </c>
      <c r="W416" s="19" t="s">
        <v>138</v>
      </c>
      <c r="X416" s="19" t="s">
        <v>123</v>
      </c>
      <c r="Y416" s="19" t="s">
        <v>123</v>
      </c>
      <c r="Z416" s="19" t="s">
        <v>2032</v>
      </c>
      <c r="AA416" s="19">
        <v>1</v>
      </c>
      <c r="AB416" s="19">
        <v>1</v>
      </c>
      <c r="AC416" s="19" t="s">
        <v>60</v>
      </c>
      <c r="AD416" s="19" t="s">
        <v>635</v>
      </c>
      <c r="AE416" s="19" t="s">
        <v>1132</v>
      </c>
      <c r="AF416" s="19"/>
    </row>
    <row r="417" spans="1:34">
      <c r="A417" s="19">
        <v>408</v>
      </c>
      <c r="B417" s="19" t="s">
        <v>2028</v>
      </c>
      <c r="C417" s="19" t="s">
        <v>449</v>
      </c>
      <c r="D417" s="19" t="str">
        <f>HYPERLINK("http://www.henontech.com/fieldsafety/harzard/harzard_show.php?rid=10365&amp;url=harzardrecs.php","五层装入装置预存室放散管道底部平台腐蚀严重，若一巡检人员在此处打扫卫生时，地面平台塌陷，从15米顶部掉落触地，送医院抢救无效死亡。")</f>
        <v>五层装入装置预存室放散管道底部平台腐蚀严重，若一巡检人员在此处打扫卫生时，地面平台塌陷，从15米顶部掉落触地，送医院抢救无效死亡。</v>
      </c>
      <c r="E417" s="19" t="s">
        <v>2033</v>
      </c>
      <c r="F417" s="20" t="s">
        <v>42</v>
      </c>
      <c r="G417" s="21" t="s">
        <v>43</v>
      </c>
      <c r="H417" s="19" t="s">
        <v>44</v>
      </c>
      <c r="I417" s="19" t="s">
        <v>83</v>
      </c>
      <c r="J417" s="19" t="s">
        <v>46</v>
      </c>
      <c r="K417" s="19"/>
      <c r="L417" s="19"/>
      <c r="M417" s="19" t="s">
        <v>117</v>
      </c>
      <c r="N417" s="19" t="s">
        <v>635</v>
      </c>
      <c r="O417" s="19" t="s">
        <v>117</v>
      </c>
      <c r="P417" s="19" t="s">
        <v>635</v>
      </c>
      <c r="Q417" s="19" t="s">
        <v>1409</v>
      </c>
      <c r="R417" s="19" t="s">
        <v>2034</v>
      </c>
      <c r="S417" s="19" t="s">
        <v>2031</v>
      </c>
      <c r="T417" s="19" t="s">
        <v>54</v>
      </c>
      <c r="U417" s="19" t="s">
        <v>121</v>
      </c>
      <c r="V417" s="19" t="s">
        <v>101</v>
      </c>
      <c r="W417" s="19" t="s">
        <v>57</v>
      </c>
      <c r="X417" s="19" t="s">
        <v>123</v>
      </c>
      <c r="Y417" s="19" t="s">
        <v>123</v>
      </c>
      <c r="Z417" s="19" t="s">
        <v>2035</v>
      </c>
      <c r="AA417" s="19">
        <v>1</v>
      </c>
      <c r="AB417" s="19">
        <v>1</v>
      </c>
      <c r="AC417" s="19" t="s">
        <v>60</v>
      </c>
      <c r="AD417" s="19" t="s">
        <v>635</v>
      </c>
      <c r="AE417" s="19" t="s">
        <v>1132</v>
      </c>
      <c r="AF417" s="19" t="s">
        <v>2036</v>
      </c>
    </row>
    <row r="418" spans="1:34">
      <c r="A418" s="19">
        <v>409</v>
      </c>
      <c r="B418" s="19" t="s">
        <v>2028</v>
      </c>
      <c r="C418" s="19" t="s">
        <v>449</v>
      </c>
      <c r="D418" s="19" t="str">
        <f>HYPERLINK("http://www.henontech.com/fieldsafety/harzard/harzard_show.php?rid=10367&amp;url=harzardrecs.php","环境除尘平台顶部电缆桥架腐蚀严重，一巡检人员巡检到此处放灰时，桥架盖板脱落，砸中人员右肩，造成右肩骨折。")</f>
        <v>环境除尘平台顶部电缆桥架腐蚀严重，一巡检人员巡检到此处放灰时，桥架盖板脱落，砸中人员右肩，造成右肩骨折。</v>
      </c>
      <c r="E418" s="19" t="s">
        <v>2037</v>
      </c>
      <c r="F418" s="20" t="s">
        <v>42</v>
      </c>
      <c r="G418" s="21" t="s">
        <v>43</v>
      </c>
      <c r="H418" s="19" t="s">
        <v>44</v>
      </c>
      <c r="I418" s="19" t="s">
        <v>83</v>
      </c>
      <c r="J418" s="19" t="s">
        <v>46</v>
      </c>
      <c r="K418" s="19"/>
      <c r="L418" s="19"/>
      <c r="M418" s="19" t="s">
        <v>117</v>
      </c>
      <c r="N418" s="19" t="s">
        <v>1019</v>
      </c>
      <c r="O418" s="19" t="s">
        <v>117</v>
      </c>
      <c r="P418" s="19" t="s">
        <v>635</v>
      </c>
      <c r="Q418" s="19" t="s">
        <v>1409</v>
      </c>
      <c r="R418" s="19" t="s">
        <v>2038</v>
      </c>
      <c r="S418" s="19" t="s">
        <v>2039</v>
      </c>
      <c r="T418" s="19" t="s">
        <v>54</v>
      </c>
      <c r="U418" s="19" t="s">
        <v>55</v>
      </c>
      <c r="V418" s="19" t="s">
        <v>101</v>
      </c>
      <c r="W418" s="19" t="s">
        <v>138</v>
      </c>
      <c r="X418" s="19" t="s">
        <v>123</v>
      </c>
      <c r="Y418" s="19" t="s">
        <v>123</v>
      </c>
      <c r="Z418" s="19" t="s">
        <v>2040</v>
      </c>
      <c r="AA418" s="19">
        <v>1</v>
      </c>
      <c r="AB418" s="19">
        <v>1</v>
      </c>
      <c r="AC418" s="19" t="s">
        <v>60</v>
      </c>
      <c r="AD418" s="19" t="s">
        <v>635</v>
      </c>
      <c r="AE418" s="19" t="s">
        <v>1132</v>
      </c>
      <c r="AF418" s="19"/>
    </row>
    <row r="419" spans="1:34">
      <c r="A419" s="19">
        <v>410</v>
      </c>
      <c r="B419" s="19" t="s">
        <v>2028</v>
      </c>
      <c r="C419" s="19" t="s">
        <v>1118</v>
      </c>
      <c r="D419" s="19" t="str">
        <f>HYPERLINK("http://www.henontech.com/fieldsafety/harzard/harzard_show.php?rid=10370&amp;url=harzardrecs.php","环境除尘平台顶部爬梯护栏开焊，一巡检人员下楼梯时脚部打滑身体前倾，从距地面30米的开焊处跌落地面，送医抢救无效死亡")</f>
        <v>环境除尘平台顶部爬梯护栏开焊，一巡检人员下楼梯时脚部打滑身体前倾，从距地面30米的开焊处跌落地面，送医抢救无效死亡</v>
      </c>
      <c r="E419" s="19" t="s">
        <v>2041</v>
      </c>
      <c r="F419" s="20" t="s">
        <v>42</v>
      </c>
      <c r="G419" s="21" t="s">
        <v>43</v>
      </c>
      <c r="H419" s="19" t="s">
        <v>44</v>
      </c>
      <c r="I419" s="19" t="s">
        <v>45</v>
      </c>
      <c r="J419" s="19" t="s">
        <v>46</v>
      </c>
      <c r="K419" s="19"/>
      <c r="L419" s="19"/>
      <c r="M419" s="19" t="s">
        <v>117</v>
      </c>
      <c r="N419" s="19" t="s">
        <v>775</v>
      </c>
      <c r="O419" s="19" t="s">
        <v>117</v>
      </c>
      <c r="P419" s="19" t="s">
        <v>635</v>
      </c>
      <c r="Q419" s="19" t="s">
        <v>1409</v>
      </c>
      <c r="R419" s="19" t="s">
        <v>2038</v>
      </c>
      <c r="S419" s="19" t="s">
        <v>2042</v>
      </c>
      <c r="T419" s="19" t="s">
        <v>54</v>
      </c>
      <c r="U419" s="19" t="s">
        <v>121</v>
      </c>
      <c r="V419" s="19" t="s">
        <v>101</v>
      </c>
      <c r="W419" s="19" t="s">
        <v>57</v>
      </c>
      <c r="X419" s="19" t="s">
        <v>123</v>
      </c>
      <c r="Y419" s="19" t="s">
        <v>123</v>
      </c>
      <c r="Z419" s="19" t="s">
        <v>2043</v>
      </c>
      <c r="AA419" s="19">
        <v>1</v>
      </c>
      <c r="AB419" s="19">
        <v>1</v>
      </c>
      <c r="AC419" s="19" t="s">
        <v>60</v>
      </c>
      <c r="AD419" s="19" t="s">
        <v>635</v>
      </c>
      <c r="AE419" s="19" t="s">
        <v>1132</v>
      </c>
      <c r="AF419" s="19"/>
    </row>
    <row r="420" spans="1:34">
      <c r="A420" s="19">
        <v>411</v>
      </c>
      <c r="B420" s="19" t="s">
        <v>2028</v>
      </c>
      <c r="C420" s="19" t="s">
        <v>1387</v>
      </c>
      <c r="D420" s="19" t="str">
        <f>HYPERLINK("http://www.henontech.com/fieldsafety/harzard/harzard_show.php?rid=10371&amp;url=harzardrecs.php","西硫铵2号饱和器三层平台管道开孔后未封堵。一名操作工在此处巡检时不小心坠落，送医检查左腿小腿骨折，住院治疗一个月后回家休养一个月才继续上班。")</f>
        <v>西硫铵2号饱和器三层平台管道开孔后未封堵。一名操作工在此处巡检时不小心坠落，送医检查左腿小腿骨折，住院治疗一个月后回家休养一个月才继续上班。</v>
      </c>
      <c r="E420" s="19" t="s">
        <v>2044</v>
      </c>
      <c r="F420" s="20" t="s">
        <v>42</v>
      </c>
      <c r="G420" s="21" t="s">
        <v>43</v>
      </c>
      <c r="H420" s="19" t="s">
        <v>44</v>
      </c>
      <c r="I420" s="19" t="s">
        <v>45</v>
      </c>
      <c r="J420" s="19" t="s">
        <v>46</v>
      </c>
      <c r="K420" s="19" t="s">
        <v>47</v>
      </c>
      <c r="L420" s="19"/>
      <c r="M420" s="19" t="s">
        <v>70</v>
      </c>
      <c r="N420" s="19" t="s">
        <v>2045</v>
      </c>
      <c r="O420" s="19" t="s">
        <v>70</v>
      </c>
      <c r="P420" s="19" t="s">
        <v>72</v>
      </c>
      <c r="Q420" s="19" t="s">
        <v>1848</v>
      </c>
      <c r="R420" s="19" t="s">
        <v>2046</v>
      </c>
      <c r="S420" s="19"/>
      <c r="T420" s="19" t="s">
        <v>54</v>
      </c>
      <c r="U420" s="19" t="s">
        <v>55</v>
      </c>
      <c r="V420" s="19" t="s">
        <v>56</v>
      </c>
      <c r="W420" s="19" t="s">
        <v>57</v>
      </c>
      <c r="X420" s="19"/>
      <c r="Y420" s="19"/>
      <c r="Z420" s="19" t="s">
        <v>2047</v>
      </c>
      <c r="AA420" s="19">
        <v>1</v>
      </c>
      <c r="AB420" s="19">
        <v>1</v>
      </c>
      <c r="AC420" s="19" t="s">
        <v>60</v>
      </c>
      <c r="AD420" s="19" t="s">
        <v>72</v>
      </c>
      <c r="AE420" s="19" t="s">
        <v>1953</v>
      </c>
      <c r="AF420" s="19"/>
    </row>
    <row r="421" spans="1:34" customHeight="1" ht="42">
      <c r="A421" s="19">
        <v>412</v>
      </c>
      <c r="B421" s="19" t="s">
        <v>1351</v>
      </c>
      <c r="C421" s="19" t="s">
        <v>1925</v>
      </c>
      <c r="D421" s="19" t="str">
        <f>HYPERLINK("http://www.henontech.com/fieldsafety/harzard/harzard_show.php?rid=10497&amp;url=harzardrecs.php","皮带机竖辊损坏，皮带一旦跑偏时不起作用，将造成皮带破损甚至撕裂。")</f>
        <v>皮带机竖辊损坏，皮带一旦跑偏时不起作用，将造成皮带破损甚至撕裂。</v>
      </c>
      <c r="E421" s="19" t="s">
        <v>2048</v>
      </c>
      <c r="F421" s="20" t="s">
        <v>42</v>
      </c>
      <c r="G421" s="21" t="s">
        <v>43</v>
      </c>
      <c r="H421" s="19" t="s">
        <v>44</v>
      </c>
      <c r="I421" s="19"/>
      <c r="J421" s="19" t="s">
        <v>46</v>
      </c>
      <c r="K421" s="19"/>
      <c r="L421" s="19"/>
      <c r="M421" s="19" t="s">
        <v>285</v>
      </c>
      <c r="N421" s="19" t="s">
        <v>2049</v>
      </c>
      <c r="O421" s="19" t="s">
        <v>285</v>
      </c>
      <c r="P421" s="19" t="s">
        <v>617</v>
      </c>
      <c r="Q421" s="19" t="s">
        <v>1322</v>
      </c>
      <c r="R421" s="19" t="s">
        <v>2050</v>
      </c>
      <c r="S421" s="19"/>
      <c r="T421" s="19" t="s">
        <v>100</v>
      </c>
      <c r="U421" s="19" t="s">
        <v>192</v>
      </c>
      <c r="V421" s="19" t="s">
        <v>56</v>
      </c>
      <c r="W421" s="19" t="s">
        <v>77</v>
      </c>
      <c r="X421" s="19" t="s">
        <v>235</v>
      </c>
      <c r="Y421" s="19" t="s">
        <v>235</v>
      </c>
      <c r="Z421" s="19" t="s">
        <v>2051</v>
      </c>
      <c r="AA421" s="19">
        <v>2</v>
      </c>
      <c r="AB421" s="19">
        <v>2</v>
      </c>
      <c r="AC421" s="19" t="s">
        <v>60</v>
      </c>
      <c r="AD421" s="19" t="s">
        <v>617</v>
      </c>
      <c r="AE421" s="19" t="s">
        <v>1707</v>
      </c>
      <c r="AF421" s="19"/>
    </row>
    <row r="422" spans="1:34">
      <c r="A422" s="19">
        <v>413</v>
      </c>
      <c r="B422" s="19" t="s">
        <v>2052</v>
      </c>
      <c r="C422" s="19" t="s">
        <v>2053</v>
      </c>
      <c r="D422" s="19" t="str">
        <f>HYPERLINK("http://www.henontech.com/fieldsafety/harzard/harzard_show.php?rid=10534&amp;url=harzardrecs.php","2#自动包装机螺旋电机叶轮防护罩脱落，一操作工在操作过程中不慎被叶轮击伤，入院治疗经医生诊断手部软组织损伤需住院3天在家休养5天。")</f>
        <v>2#自动包装机螺旋电机叶轮防护罩脱落，一操作工在操作过程中不慎被叶轮击伤，入院治疗经医生诊断手部软组织损伤需住院3天在家休养5天。</v>
      </c>
      <c r="E422" s="19" t="s">
        <v>2054</v>
      </c>
      <c r="F422" s="20" t="s">
        <v>42</v>
      </c>
      <c r="G422" s="21" t="s">
        <v>43</v>
      </c>
      <c r="H422" s="19" t="s">
        <v>44</v>
      </c>
      <c r="I422" s="19" t="s">
        <v>67</v>
      </c>
      <c r="J422" s="19" t="s">
        <v>46</v>
      </c>
      <c r="K422" s="19" t="s">
        <v>145</v>
      </c>
      <c r="L422" s="19"/>
      <c r="M422" s="19" t="s">
        <v>84</v>
      </c>
      <c r="N422" s="19" t="s">
        <v>1780</v>
      </c>
      <c r="O422" s="19" t="s">
        <v>96</v>
      </c>
      <c r="P422" s="19" t="s">
        <v>217</v>
      </c>
      <c r="Q422" s="19" t="s">
        <v>1409</v>
      </c>
      <c r="R422" s="19" t="s">
        <v>2055</v>
      </c>
      <c r="S422" s="19"/>
      <c r="T422" s="19" t="s">
        <v>54</v>
      </c>
      <c r="U422" s="19" t="s">
        <v>55</v>
      </c>
      <c r="V422" s="19" t="s">
        <v>101</v>
      </c>
      <c r="W422" s="19" t="s">
        <v>138</v>
      </c>
      <c r="X422" s="19" t="s">
        <v>58</v>
      </c>
      <c r="Y422" s="19" t="s">
        <v>58</v>
      </c>
      <c r="Z422" s="19" t="s">
        <v>2056</v>
      </c>
      <c r="AA422" s="19">
        <v>1</v>
      </c>
      <c r="AB422" s="19">
        <v>1</v>
      </c>
      <c r="AC422" s="19" t="s">
        <v>60</v>
      </c>
      <c r="AD422" s="19" t="s">
        <v>217</v>
      </c>
      <c r="AE422" s="19" t="s">
        <v>1139</v>
      </c>
      <c r="AF422" s="19" t="s">
        <v>2057</v>
      </c>
    </row>
    <row r="423" spans="1:34">
      <c r="A423" s="19">
        <v>414</v>
      </c>
      <c r="B423" s="19" t="s">
        <v>2052</v>
      </c>
      <c r="C423" s="19" t="s">
        <v>2058</v>
      </c>
      <c r="D423" s="19" t="str">
        <f>HYPERLINK("http://www.henontech.com/fieldsafety/harzard/harzard_show.php?rid=10624&amp;url=harzardrecs.php","南冷凝澄清槽机头爬梯腐烂，一名操作工开机头放散阀门时，爬梯断裂，造成一名操作工摔倒，操作工左臂骨折，脸部擦伤，去医院就医三十天，回家休养两个月后复工")</f>
        <v>南冷凝澄清槽机头爬梯腐烂，一名操作工开机头放散阀门时，爬梯断裂，造成一名操作工摔倒，操作工左臂骨折，脸部擦伤，去医院就医三十天，回家休养两个月后复工</v>
      </c>
      <c r="E423" s="19" t="s">
        <v>2059</v>
      </c>
      <c r="F423" s="20" t="s">
        <v>42</v>
      </c>
      <c r="G423" s="21" t="s">
        <v>43</v>
      </c>
      <c r="H423" s="19" t="s">
        <v>44</v>
      </c>
      <c r="I423" s="19"/>
      <c r="J423" s="19" t="s">
        <v>46</v>
      </c>
      <c r="K423" s="19"/>
      <c r="L423" s="19"/>
      <c r="M423" s="19" t="s">
        <v>70</v>
      </c>
      <c r="N423" s="19" t="s">
        <v>2060</v>
      </c>
      <c r="O423" s="19" t="s">
        <v>70</v>
      </c>
      <c r="P423" s="19" t="s">
        <v>72</v>
      </c>
      <c r="Q423" s="19" t="s">
        <v>1895</v>
      </c>
      <c r="R423" s="19" t="s">
        <v>2061</v>
      </c>
      <c r="S423" s="19"/>
      <c r="T423" s="19" t="s">
        <v>54</v>
      </c>
      <c r="U423" s="19" t="s">
        <v>55</v>
      </c>
      <c r="V423" s="19" t="s">
        <v>56</v>
      </c>
      <c r="W423" s="19" t="s">
        <v>57</v>
      </c>
      <c r="X423" s="19"/>
      <c r="Y423" s="19"/>
      <c r="Z423" s="19" t="s">
        <v>2062</v>
      </c>
      <c r="AA423" s="19">
        <v>1</v>
      </c>
      <c r="AB423" s="19">
        <v>1</v>
      </c>
      <c r="AC423" s="19" t="s">
        <v>60</v>
      </c>
      <c r="AD423" s="19" t="s">
        <v>72</v>
      </c>
      <c r="AE423" s="19" t="s">
        <v>1202</v>
      </c>
      <c r="AF423" s="19"/>
    </row>
    <row r="424" spans="1:34">
      <c r="A424" s="19">
        <v>415</v>
      </c>
      <c r="B424" s="19" t="s">
        <v>2052</v>
      </c>
      <c r="C424" s="19" t="s">
        <v>1930</v>
      </c>
      <c r="D424" s="19" t="str">
        <f>HYPERLINK("http://www.henontech.com/fieldsafety/harzard/harzard_show.php?rid=10636&amp;url=harzardrecs.php","南化产区域临时配电盘配电箱未及时关闭无防雨措施，下雨时雨水顺流到配电盘内部，一名操作人员操作时发生触电，送医诊断为右臂.前胸等处多处灼伤，住院治疗三天，在家休养七天后复工")</f>
        <v>南化产区域临时配电盘配电箱未及时关闭无防雨措施，下雨时雨水顺流到配电盘内部，一名操作人员操作时发生触电，送医诊断为右臂.前胸等处多处灼伤，住院治疗三天，在家休养七天后复工</v>
      </c>
      <c r="E424" s="19" t="s">
        <v>2063</v>
      </c>
      <c r="F424" s="20" t="s">
        <v>42</v>
      </c>
      <c r="G424" s="21" t="s">
        <v>43</v>
      </c>
      <c r="H424" s="19" t="s">
        <v>44</v>
      </c>
      <c r="I424" s="19" t="s">
        <v>45</v>
      </c>
      <c r="J424" s="19" t="s">
        <v>46</v>
      </c>
      <c r="K424" s="19" t="s">
        <v>69</v>
      </c>
      <c r="L424" s="19" t="s">
        <v>48</v>
      </c>
      <c r="M424" s="19" t="s">
        <v>70</v>
      </c>
      <c r="N424" s="19" t="s">
        <v>1750</v>
      </c>
      <c r="O424" s="19" t="s">
        <v>70</v>
      </c>
      <c r="P424" s="19" t="s">
        <v>72</v>
      </c>
      <c r="Q424" s="19" t="s">
        <v>1848</v>
      </c>
      <c r="R424" s="19" t="s">
        <v>2064</v>
      </c>
      <c r="S424" s="19"/>
      <c r="T424" s="19" t="s">
        <v>54</v>
      </c>
      <c r="U424" s="19" t="s">
        <v>55</v>
      </c>
      <c r="V424" s="19" t="s">
        <v>56</v>
      </c>
      <c r="W424" s="19" t="s">
        <v>57</v>
      </c>
      <c r="X424" s="19"/>
      <c r="Y424" s="19"/>
      <c r="Z424" s="19" t="s">
        <v>2065</v>
      </c>
      <c r="AA424" s="19">
        <v>1</v>
      </c>
      <c r="AB424" s="19">
        <v>1</v>
      </c>
      <c r="AC424" s="19" t="s">
        <v>60</v>
      </c>
      <c r="AD424" s="19" t="s">
        <v>72</v>
      </c>
      <c r="AE424" s="19" t="s">
        <v>1080</v>
      </c>
      <c r="AF424" s="19"/>
    </row>
    <row r="425" spans="1:34">
      <c r="A425" s="19">
        <v>416</v>
      </c>
      <c r="B425" s="19" t="s">
        <v>2052</v>
      </c>
      <c r="C425" s="19" t="s">
        <v>1111</v>
      </c>
      <c r="D425" s="19" t="str">
        <f>HYPERLINK("http://www.henontech.com/fieldsafety/harzard/harzard_show.php?rid=10675&amp;url=harzardrecs.php","硫铵西侧现场杂乱，假如一名职工急忙去厕所时，由于辨识不到位，被脚下管道绊倒造成右手腕挫伤，无损工。")</f>
        <v>硫铵西侧现场杂乱，假如一名职工急忙去厕所时，由于辨识不到位，被脚下管道绊倒造成右手腕挫伤，无损工。</v>
      </c>
      <c r="E425" s="19" t="s">
        <v>2066</v>
      </c>
      <c r="F425" s="20" t="s">
        <v>42</v>
      </c>
      <c r="G425" s="21" t="s">
        <v>43</v>
      </c>
      <c r="H425" s="19" t="s">
        <v>44</v>
      </c>
      <c r="I425" s="19" t="s">
        <v>45</v>
      </c>
      <c r="J425" s="19" t="s">
        <v>401</v>
      </c>
      <c r="K425" s="19" t="s">
        <v>69</v>
      </c>
      <c r="L425" s="19" t="s">
        <v>48</v>
      </c>
      <c r="M425" s="19" t="s">
        <v>70</v>
      </c>
      <c r="N425" s="19" t="s">
        <v>559</v>
      </c>
      <c r="O425" s="19" t="s">
        <v>70</v>
      </c>
      <c r="P425" s="19" t="s">
        <v>72</v>
      </c>
      <c r="Q425" s="19" t="s">
        <v>1848</v>
      </c>
      <c r="R425" s="19" t="s">
        <v>2067</v>
      </c>
      <c r="S425" s="19"/>
      <c r="T425" s="19" t="s">
        <v>54</v>
      </c>
      <c r="U425" s="19" t="s">
        <v>75</v>
      </c>
      <c r="V425" s="19" t="s">
        <v>101</v>
      </c>
      <c r="W425" s="19" t="s">
        <v>77</v>
      </c>
      <c r="X425" s="19"/>
      <c r="Y425" s="19"/>
      <c r="Z425" s="19" t="s">
        <v>2068</v>
      </c>
      <c r="AA425" s="19">
        <v>1</v>
      </c>
      <c r="AB425" s="19">
        <v>1</v>
      </c>
      <c r="AC425" s="19" t="s">
        <v>60</v>
      </c>
      <c r="AD425" s="19" t="s">
        <v>72</v>
      </c>
      <c r="AE425" s="19" t="s">
        <v>1116</v>
      </c>
      <c r="AF425" s="19"/>
    </row>
    <row r="426" spans="1:34">
      <c r="A426" s="19">
        <v>417</v>
      </c>
      <c r="B426" s="19" t="s">
        <v>2052</v>
      </c>
      <c r="C426" s="19" t="s">
        <v>2024</v>
      </c>
      <c r="D426" s="19" t="str">
        <f>HYPERLINK("http://www.henontech.com/fieldsafety/harzard/harzard_show.php?rid=10787&amp;url=harzardrecs.php","一操作工在吹扫管道时没有配带护目镜，原料液喷入眼中，用大量清水清洗休息一会继续正常工作。")</f>
        <v>一操作工在吹扫管道时没有配带护目镜，原料液喷入眼中，用大量清水清洗休息一会继续正常工作。</v>
      </c>
      <c r="E426" s="19" t="s">
        <v>2069</v>
      </c>
      <c r="F426" s="20" t="s">
        <v>42</v>
      </c>
      <c r="G426" s="21" t="s">
        <v>43</v>
      </c>
      <c r="H426" s="19" t="s">
        <v>44</v>
      </c>
      <c r="I426" s="19"/>
      <c r="J426" s="19" t="s">
        <v>334</v>
      </c>
      <c r="K426" s="19" t="s">
        <v>145</v>
      </c>
      <c r="L426" s="19" t="s">
        <v>573</v>
      </c>
      <c r="M426" s="19" t="s">
        <v>70</v>
      </c>
      <c r="N426" s="19" t="s">
        <v>213</v>
      </c>
      <c r="O426" s="19" t="s">
        <v>70</v>
      </c>
      <c r="P426" s="19" t="s">
        <v>72</v>
      </c>
      <c r="Q426" s="19" t="s">
        <v>1848</v>
      </c>
      <c r="R426" s="19" t="s">
        <v>2070</v>
      </c>
      <c r="S426" s="19"/>
      <c r="T426" s="19" t="s">
        <v>54</v>
      </c>
      <c r="U426" s="19" t="s">
        <v>75</v>
      </c>
      <c r="V426" s="19" t="s">
        <v>56</v>
      </c>
      <c r="W426" s="19" t="s">
        <v>138</v>
      </c>
      <c r="X426" s="19"/>
      <c r="Y426" s="19"/>
      <c r="Z426" s="19" t="s">
        <v>2071</v>
      </c>
      <c r="AA426" s="19">
        <v>1</v>
      </c>
      <c r="AB426" s="19">
        <v>1</v>
      </c>
      <c r="AC426" s="19" t="s">
        <v>60</v>
      </c>
      <c r="AD426" s="19" t="s">
        <v>72</v>
      </c>
      <c r="AE426" s="19" t="s">
        <v>1116</v>
      </c>
      <c r="AF426" s="19" t="s">
        <v>2072</v>
      </c>
    </row>
    <row r="427" spans="1:34">
      <c r="A427" s="19">
        <v>418</v>
      </c>
      <c r="B427" s="19" t="s">
        <v>2073</v>
      </c>
      <c r="C427" s="19" t="s">
        <v>2074</v>
      </c>
      <c r="D427" s="19" t="str">
        <f>HYPERLINK("http://www.henontech.com/fieldsafety/harzard/harzard_show.php?rid=10802&amp;url=harzardrecs.php","天车纲丝绳断裂")</f>
        <v>天车纲丝绳断裂</v>
      </c>
      <c r="E427" s="19" t="s">
        <v>2075</v>
      </c>
      <c r="F427" s="24" t="s">
        <v>387</v>
      </c>
      <c r="G427" s="21" t="s">
        <v>43</v>
      </c>
      <c r="H427" s="19" t="s">
        <v>44</v>
      </c>
      <c r="I427" s="19" t="s">
        <v>45</v>
      </c>
      <c r="J427" s="19" t="s">
        <v>68</v>
      </c>
      <c r="K427" s="19" t="s">
        <v>47</v>
      </c>
      <c r="L427" s="19" t="s">
        <v>48</v>
      </c>
      <c r="M427" s="19" t="s">
        <v>84</v>
      </c>
      <c r="N427" s="19" t="s">
        <v>2076</v>
      </c>
      <c r="O427" s="19"/>
      <c r="P427" s="19"/>
      <c r="Q427" s="19"/>
      <c r="R427" s="19" t="s">
        <v>2077</v>
      </c>
      <c r="S427" s="19" t="s">
        <v>703</v>
      </c>
      <c r="T427" s="19" t="s">
        <v>100</v>
      </c>
      <c r="U427" s="19" t="s">
        <v>75</v>
      </c>
      <c r="V427" s="19" t="s">
        <v>56</v>
      </c>
      <c r="W427" s="19" t="s">
        <v>138</v>
      </c>
      <c r="X427" s="19"/>
      <c r="Y427" s="19"/>
      <c r="Z427" s="19"/>
      <c r="AA427" s="19">
        <v>0</v>
      </c>
      <c r="AB427" s="19"/>
      <c r="AC427" s="19" t="s">
        <v>392</v>
      </c>
      <c r="AD427" s="19"/>
      <c r="AE427" s="19"/>
      <c r="AF427" s="19"/>
    </row>
    <row r="428" spans="1:34">
      <c r="A428" s="19">
        <v>419</v>
      </c>
      <c r="B428" s="19" t="s">
        <v>2073</v>
      </c>
      <c r="C428" s="19" t="s">
        <v>2078</v>
      </c>
      <c r="D428" s="19" t="str">
        <f>HYPERLINK("http://www.henontech.com/fieldsafety/harzard/harzard_show.php?rid=10810&amp;url=harzardrecs.php","除盐水罐补水后铁管未及时撤走，如果巡检工夜间巡检时不慎被绊倒，导致右脚轻微扭伤，休息一会后继续上班。")</f>
        <v>除盐水罐补水后铁管未及时撤走，如果巡检工夜间巡检时不慎被绊倒，导致右脚轻微扭伤，休息一会后继续上班。</v>
      </c>
      <c r="E428" s="19" t="s">
        <v>2079</v>
      </c>
      <c r="F428" s="20" t="s">
        <v>42</v>
      </c>
      <c r="G428" s="21" t="s">
        <v>43</v>
      </c>
      <c r="H428" s="19" t="s">
        <v>44</v>
      </c>
      <c r="I428" s="19" t="s">
        <v>45</v>
      </c>
      <c r="J428" s="19" t="s">
        <v>46</v>
      </c>
      <c r="K428" s="19" t="s">
        <v>69</v>
      </c>
      <c r="L428" s="19" t="s">
        <v>48</v>
      </c>
      <c r="M428" s="19" t="s">
        <v>70</v>
      </c>
      <c r="N428" s="19" t="s">
        <v>1763</v>
      </c>
      <c r="O428" s="19" t="s">
        <v>70</v>
      </c>
      <c r="P428" s="19" t="s">
        <v>72</v>
      </c>
      <c r="Q428" s="19" t="s">
        <v>1848</v>
      </c>
      <c r="R428" s="19" t="s">
        <v>2080</v>
      </c>
      <c r="S428" s="19"/>
      <c r="T428" s="19" t="s">
        <v>54</v>
      </c>
      <c r="U428" s="19" t="s">
        <v>75</v>
      </c>
      <c r="V428" s="19" t="s">
        <v>101</v>
      </c>
      <c r="W428" s="19" t="s">
        <v>77</v>
      </c>
      <c r="X428" s="19"/>
      <c r="Y428" s="19"/>
      <c r="Z428" s="19" t="s">
        <v>2081</v>
      </c>
      <c r="AA428" s="19">
        <v>1</v>
      </c>
      <c r="AB428" s="19">
        <v>1</v>
      </c>
      <c r="AC428" s="19" t="s">
        <v>60</v>
      </c>
      <c r="AD428" s="19" t="s">
        <v>72</v>
      </c>
      <c r="AE428" s="19" t="s">
        <v>1202</v>
      </c>
      <c r="AF428" s="19"/>
    </row>
    <row r="429" spans="1:34">
      <c r="A429" s="19">
        <v>420</v>
      </c>
      <c r="B429" s="19" t="s">
        <v>2073</v>
      </c>
      <c r="C429" s="19" t="s">
        <v>2082</v>
      </c>
      <c r="D429" s="19" t="str">
        <f>HYPERLINK("http://www.henontech.com/fieldsafety/harzard/harzard_show.php?rid=10821&amp;url=harzardrecs.php","一名员工在放灰时，由于放灰时间过长，从放灰管中向外喷出尚未燃尽的红料，红料喷到该名员工身上，导致该员工胳膊烫伤，同事送医院治疗。")</f>
        <v>一名员工在放灰时，由于放灰时间过长，从放灰管中向外喷出尚未燃尽的红料，红料喷到该名员工身上，导致该员工胳膊烫伤，同事送医院治疗。</v>
      </c>
      <c r="E429" s="19" t="s">
        <v>2083</v>
      </c>
      <c r="F429" s="24" t="s">
        <v>387</v>
      </c>
      <c r="G429" s="21" t="s">
        <v>43</v>
      </c>
      <c r="H429" s="19" t="s">
        <v>44</v>
      </c>
      <c r="I429" s="19" t="s">
        <v>67</v>
      </c>
      <c r="J429" s="19" t="s">
        <v>46</v>
      </c>
      <c r="K429" s="19" t="s">
        <v>47</v>
      </c>
      <c r="L429" s="19" t="s">
        <v>48</v>
      </c>
      <c r="M429" s="19" t="s">
        <v>84</v>
      </c>
      <c r="N429" s="19" t="s">
        <v>2084</v>
      </c>
      <c r="O429" s="19"/>
      <c r="P429" s="19"/>
      <c r="Q429" s="19"/>
      <c r="R429" s="19" t="s">
        <v>2085</v>
      </c>
      <c r="S429" s="19" t="s">
        <v>2086</v>
      </c>
      <c r="T429" s="19" t="s">
        <v>54</v>
      </c>
      <c r="U429" s="19" t="s">
        <v>75</v>
      </c>
      <c r="V429" s="19" t="s">
        <v>56</v>
      </c>
      <c r="W429" s="19" t="s">
        <v>138</v>
      </c>
      <c r="X429" s="19"/>
      <c r="Y429" s="19"/>
      <c r="Z429" s="19"/>
      <c r="AA429" s="19">
        <v>0</v>
      </c>
      <c r="AB429" s="19"/>
      <c r="AC429" s="19" t="s">
        <v>392</v>
      </c>
      <c r="AD429" s="19"/>
      <c r="AE429" s="19"/>
      <c r="AF429" s="19"/>
    </row>
    <row r="430" spans="1:34">
      <c r="A430" s="19">
        <v>421</v>
      </c>
      <c r="B430" s="19" t="s">
        <v>2073</v>
      </c>
      <c r="C430" s="19" t="s">
        <v>2087</v>
      </c>
      <c r="D430" s="19" t="str">
        <f>HYPERLINK("http://www.henontech.com/fieldsafety/harzard/harzard_show.php?rid=10952&amp;url=harzardrecs.php","一名操作工巡检，没引起重视，上平台时不慎踩空滑倒导致手肘划伤，医务室包扎损工一天")</f>
        <v>一名操作工巡检，没引起重视，上平台时不慎踩空滑倒导致手肘划伤，医务室包扎损工一天</v>
      </c>
      <c r="E430" s="19" t="s">
        <v>2088</v>
      </c>
      <c r="F430" s="24" t="s">
        <v>387</v>
      </c>
      <c r="G430" s="21" t="s">
        <v>43</v>
      </c>
      <c r="H430" s="19" t="s">
        <v>44</v>
      </c>
      <c r="I430" s="19" t="s">
        <v>67</v>
      </c>
      <c r="J430" s="19" t="s">
        <v>46</v>
      </c>
      <c r="K430" s="19" t="s">
        <v>166</v>
      </c>
      <c r="L430" s="19" t="s">
        <v>48</v>
      </c>
      <c r="M430" s="19" t="s">
        <v>84</v>
      </c>
      <c r="N430" s="19" t="s">
        <v>850</v>
      </c>
      <c r="O430" s="19"/>
      <c r="P430" s="19"/>
      <c r="Q430" s="19"/>
      <c r="R430" s="19" t="s">
        <v>2089</v>
      </c>
      <c r="S430" s="19" t="s">
        <v>2090</v>
      </c>
      <c r="T430" s="19" t="s">
        <v>54</v>
      </c>
      <c r="U430" s="19" t="s">
        <v>75</v>
      </c>
      <c r="V430" s="19" t="s">
        <v>56</v>
      </c>
      <c r="W430" s="19" t="s">
        <v>138</v>
      </c>
      <c r="X430" s="19"/>
      <c r="Y430" s="19"/>
      <c r="Z430" s="19"/>
      <c r="AA430" s="19">
        <v>0</v>
      </c>
      <c r="AB430" s="19"/>
      <c r="AC430" s="19" t="s">
        <v>392</v>
      </c>
      <c r="AD430" s="19"/>
      <c r="AE430" s="19"/>
      <c r="AF430" s="19"/>
    </row>
    <row r="431" spans="1:34">
      <c r="A431" s="19">
        <v>422</v>
      </c>
      <c r="B431" s="19" t="s">
        <v>2073</v>
      </c>
      <c r="C431" s="19" t="s">
        <v>2091</v>
      </c>
      <c r="D431" s="19" t="str">
        <f>HYPERLINK("http://www.henontech.com/fieldsafety/harzard/harzard_show.php?rid=10961&amp;url=harzardrecs.php","氨水罐区氨水泵压力表出现泄露氨水，造成罐区周围氨超标，易造成环保事故")</f>
        <v>氨水罐区氨水泵压力表出现泄露氨水，造成罐区周围氨超标，易造成环保事故</v>
      </c>
      <c r="E431" s="19" t="s">
        <v>2092</v>
      </c>
      <c r="F431" s="24" t="s">
        <v>387</v>
      </c>
      <c r="G431" s="21" t="s">
        <v>43</v>
      </c>
      <c r="H431" s="19" t="s">
        <v>44</v>
      </c>
      <c r="I431" s="19" t="s">
        <v>67</v>
      </c>
      <c r="J431" s="19" t="s">
        <v>46</v>
      </c>
      <c r="K431" s="19" t="s">
        <v>69</v>
      </c>
      <c r="L431" s="19" t="s">
        <v>48</v>
      </c>
      <c r="M431" s="19" t="s">
        <v>84</v>
      </c>
      <c r="N431" s="19" t="s">
        <v>2093</v>
      </c>
      <c r="O431" s="19"/>
      <c r="P431" s="19"/>
      <c r="Q431" s="19"/>
      <c r="R431" s="19" t="s">
        <v>2094</v>
      </c>
      <c r="S431" s="19" t="s">
        <v>2095</v>
      </c>
      <c r="T431" s="19" t="s">
        <v>270</v>
      </c>
      <c r="U431" s="19" t="s">
        <v>75</v>
      </c>
      <c r="V431" s="19" t="s">
        <v>101</v>
      </c>
      <c r="W431" s="19" t="s">
        <v>77</v>
      </c>
      <c r="X431" s="19"/>
      <c r="Y431" s="19"/>
      <c r="Z431" s="19"/>
      <c r="AA431" s="19">
        <v>0</v>
      </c>
      <c r="AB431" s="19"/>
      <c r="AC431" s="19" t="s">
        <v>392</v>
      </c>
      <c r="AD431" s="19"/>
      <c r="AE431" s="19"/>
      <c r="AF431" s="19"/>
    </row>
    <row r="432" spans="1:34">
      <c r="A432" s="19">
        <v>423</v>
      </c>
      <c r="B432" s="19" t="s">
        <v>2096</v>
      </c>
      <c r="C432" s="19" t="s">
        <v>669</v>
      </c>
      <c r="D432" s="19" t="str">
        <f>HYPERLINK("http://www.henontech.com/fieldsafety/harzard/harzard_show.php?rid=11075&amp;url=harzardrecs.php","综合供水操作室西窗户南侧窗右下角开裂，如果一名操作I在关闭窗户时，可能把窗户框拉断玻璃脱落划伤左胳膊，送医务室检查包扎合复工。")</f>
        <v>综合供水操作室西窗户南侧窗右下角开裂，如果一名操作I在关闭窗户时，可能把窗户框拉断玻璃脱落划伤左胳膊，送医务室检查包扎合复工。</v>
      </c>
      <c r="E432" s="19" t="s">
        <v>2097</v>
      </c>
      <c r="F432" s="20" t="s">
        <v>42</v>
      </c>
      <c r="G432" s="21" t="s">
        <v>43</v>
      </c>
      <c r="H432" s="19" t="s">
        <v>44</v>
      </c>
      <c r="I432" s="19" t="s">
        <v>67</v>
      </c>
      <c r="J432" s="19" t="s">
        <v>46</v>
      </c>
      <c r="K432" s="19" t="s">
        <v>47</v>
      </c>
      <c r="L432" s="19" t="s">
        <v>48</v>
      </c>
      <c r="M432" s="19" t="s">
        <v>70</v>
      </c>
      <c r="N432" s="19" t="s">
        <v>2098</v>
      </c>
      <c r="O432" s="19" t="s">
        <v>70</v>
      </c>
      <c r="P432" s="19" t="s">
        <v>72</v>
      </c>
      <c r="Q432" s="19" t="s">
        <v>1848</v>
      </c>
      <c r="R432" s="19" t="s">
        <v>725</v>
      </c>
      <c r="S432" s="19"/>
      <c r="T432" s="19" t="s">
        <v>54</v>
      </c>
      <c r="U432" s="19" t="s">
        <v>75</v>
      </c>
      <c r="V432" s="19" t="s">
        <v>76</v>
      </c>
      <c r="W432" s="19" t="s">
        <v>77</v>
      </c>
      <c r="X432" s="19"/>
      <c r="Y432" s="19"/>
      <c r="Z432" s="19" t="s">
        <v>2099</v>
      </c>
      <c r="AA432" s="19">
        <v>1</v>
      </c>
      <c r="AB432" s="19">
        <v>1</v>
      </c>
      <c r="AC432" s="19" t="s">
        <v>60</v>
      </c>
      <c r="AD432" s="19" t="s">
        <v>72</v>
      </c>
      <c r="AE432" s="19" t="s">
        <v>1116</v>
      </c>
      <c r="AF432" s="19"/>
    </row>
    <row r="433" spans="1:34">
      <c r="A433" s="19">
        <v>424</v>
      </c>
      <c r="B433" s="19" t="s">
        <v>1132</v>
      </c>
      <c r="C433" s="19" t="s">
        <v>2100</v>
      </c>
      <c r="D433" s="19" t="str">
        <f>HYPERLINK("http://www.henontech.com/fieldsafety/harzard/harzard_show.php?rid=11090&amp;url=harzardrecs.php","碳化塔操作平台南侧踢脚板缺失")</f>
        <v>碳化塔操作平台南侧踢脚板缺失</v>
      </c>
      <c r="E433" s="19" t="s">
        <v>2101</v>
      </c>
      <c r="F433" s="20" t="s">
        <v>42</v>
      </c>
      <c r="G433" s="21" t="s">
        <v>43</v>
      </c>
      <c r="H433" s="19" t="s">
        <v>44</v>
      </c>
      <c r="I433" s="19" t="s">
        <v>83</v>
      </c>
      <c r="J433" s="19" t="s">
        <v>46</v>
      </c>
      <c r="K433" s="19" t="s">
        <v>69</v>
      </c>
      <c r="L433" s="19" t="s">
        <v>584</v>
      </c>
      <c r="M433" s="19" t="s">
        <v>84</v>
      </c>
      <c r="N433" s="19" t="s">
        <v>2102</v>
      </c>
      <c r="O433" s="19" t="s">
        <v>96</v>
      </c>
      <c r="P433" s="19" t="s">
        <v>217</v>
      </c>
      <c r="Q433" s="19" t="s">
        <v>1830</v>
      </c>
      <c r="R433" s="19" t="s">
        <v>2103</v>
      </c>
      <c r="S433" s="19"/>
      <c r="T433" s="19" t="s">
        <v>54</v>
      </c>
      <c r="U433" s="19" t="s">
        <v>75</v>
      </c>
      <c r="V433" s="19" t="s">
        <v>101</v>
      </c>
      <c r="W433" s="19" t="s">
        <v>77</v>
      </c>
      <c r="X433" s="19"/>
      <c r="Y433" s="19"/>
      <c r="Z433" s="19" t="s">
        <v>2104</v>
      </c>
      <c r="AA433" s="19">
        <v>1</v>
      </c>
      <c r="AB433" s="19">
        <v>1</v>
      </c>
      <c r="AC433" s="19" t="s">
        <v>60</v>
      </c>
      <c r="AD433" s="19" t="s">
        <v>217</v>
      </c>
      <c r="AE433" s="19" t="s">
        <v>1132</v>
      </c>
      <c r="AF433" s="19"/>
    </row>
    <row r="434" spans="1:34">
      <c r="A434" s="19">
        <v>425</v>
      </c>
      <c r="B434" s="19" t="s">
        <v>1132</v>
      </c>
      <c r="C434" s="19" t="s">
        <v>2100</v>
      </c>
      <c r="D434" s="19" t="str">
        <f>HYPERLINK("http://www.henontech.com/fieldsafety/harzard/harzard_show.php?rid=11094&amp;url=harzardrecs.php","三楼操作平台护栏下方踢脚板缺失")</f>
        <v>三楼操作平台护栏下方踢脚板缺失</v>
      </c>
      <c r="E434" s="19" t="s">
        <v>2105</v>
      </c>
      <c r="F434" s="20" t="s">
        <v>42</v>
      </c>
      <c r="G434" s="21" t="s">
        <v>43</v>
      </c>
      <c r="H434" s="19" t="s">
        <v>44</v>
      </c>
      <c r="I434" s="19" t="s">
        <v>45</v>
      </c>
      <c r="J434" s="19" t="s">
        <v>46</v>
      </c>
      <c r="K434" s="19" t="s">
        <v>69</v>
      </c>
      <c r="L434" s="19" t="s">
        <v>584</v>
      </c>
      <c r="M434" s="19" t="s">
        <v>84</v>
      </c>
      <c r="N434" s="19" t="s">
        <v>2102</v>
      </c>
      <c r="O434" s="19" t="s">
        <v>96</v>
      </c>
      <c r="P434" s="19" t="s">
        <v>217</v>
      </c>
      <c r="Q434" s="19" t="s">
        <v>1830</v>
      </c>
      <c r="R434" s="19" t="s">
        <v>2103</v>
      </c>
      <c r="S434" s="19"/>
      <c r="T434" s="19" t="s">
        <v>54</v>
      </c>
      <c r="U434" s="19" t="s">
        <v>55</v>
      </c>
      <c r="V434" s="19" t="s">
        <v>101</v>
      </c>
      <c r="W434" s="19" t="s">
        <v>138</v>
      </c>
      <c r="X434" s="19"/>
      <c r="Y434" s="19"/>
      <c r="Z434" s="19" t="s">
        <v>2106</v>
      </c>
      <c r="AA434" s="19">
        <v>1</v>
      </c>
      <c r="AB434" s="19">
        <v>1</v>
      </c>
      <c r="AC434" s="19" t="s">
        <v>60</v>
      </c>
      <c r="AD434" s="19" t="s">
        <v>217</v>
      </c>
      <c r="AE434" s="19" t="s">
        <v>1132</v>
      </c>
      <c r="AF434" s="19"/>
    </row>
    <row r="435" spans="1:34">
      <c r="A435" s="19">
        <v>426</v>
      </c>
      <c r="B435" s="19" t="s">
        <v>2096</v>
      </c>
      <c r="C435" s="19" t="s">
        <v>2107</v>
      </c>
      <c r="D435" s="19" t="str">
        <f>HYPERLINK("http://www.henontech.com/fieldsafety/harzard/harzard_show.php?rid=11106&amp;url=harzardrecs.php","电焊机漏保进水")</f>
        <v>电焊机漏保进水</v>
      </c>
      <c r="E435" s="19" t="s">
        <v>2108</v>
      </c>
      <c r="F435" s="24" t="s">
        <v>387</v>
      </c>
      <c r="G435" s="21" t="s">
        <v>43</v>
      </c>
      <c r="H435" s="19" t="s">
        <v>44</v>
      </c>
      <c r="I435" s="19"/>
      <c r="J435" s="19" t="s">
        <v>68</v>
      </c>
      <c r="K435" s="19"/>
      <c r="L435" s="19"/>
      <c r="M435" s="19" t="s">
        <v>84</v>
      </c>
      <c r="N435" s="19" t="s">
        <v>809</v>
      </c>
      <c r="O435" s="19"/>
      <c r="P435" s="19"/>
      <c r="Q435" s="19"/>
      <c r="R435" s="19" t="s">
        <v>64</v>
      </c>
      <c r="S435" s="19" t="s">
        <v>2095</v>
      </c>
      <c r="T435" s="19" t="s">
        <v>54</v>
      </c>
      <c r="U435" s="19" t="s">
        <v>121</v>
      </c>
      <c r="V435" s="19" t="s">
        <v>101</v>
      </c>
      <c r="W435" s="19" t="s">
        <v>57</v>
      </c>
      <c r="X435" s="19"/>
      <c r="Y435" s="19"/>
      <c r="Z435" s="19"/>
      <c r="AA435" s="19">
        <v>0</v>
      </c>
      <c r="AB435" s="19"/>
      <c r="AC435" s="19" t="s">
        <v>392</v>
      </c>
      <c r="AD435" s="19"/>
      <c r="AE435" s="19"/>
      <c r="AF435" s="19"/>
    </row>
    <row r="436" spans="1:34">
      <c r="A436" s="19">
        <v>427</v>
      </c>
      <c r="B436" s="19" t="s">
        <v>1895</v>
      </c>
      <c r="C436" s="19" t="s">
        <v>70</v>
      </c>
      <c r="D436" s="19" t="str">
        <f>HYPERLINK("http://www.henontech.com/fieldsafety/harzard/harzard_show.php?rid=11174&amp;url=harzardrecs.php","捕油器爬梯护栏腐蚀脱落，假设一名操作工上下爬梯时，护栏腐蚀脱落，脚不慎被护栏绊倒造成操作工从爬梯上滚落到地面，头部着地昏迷，送往医院救治。")</f>
        <v>捕油器爬梯护栏腐蚀脱落，假设一名操作工上下爬梯时，护栏腐蚀脱落，脚不慎被护栏绊倒造成操作工从爬梯上滚落到地面，头部着地昏迷，送往医院救治。</v>
      </c>
      <c r="E436" s="19" t="s">
        <v>2109</v>
      </c>
      <c r="F436" s="20" t="s">
        <v>42</v>
      </c>
      <c r="G436" s="21" t="s">
        <v>43</v>
      </c>
      <c r="H436" s="19" t="s">
        <v>44</v>
      </c>
      <c r="I436" s="19" t="s">
        <v>45</v>
      </c>
      <c r="J436" s="19" t="s">
        <v>46</v>
      </c>
      <c r="K436" s="19" t="s">
        <v>166</v>
      </c>
      <c r="L436" s="19" t="s">
        <v>48</v>
      </c>
      <c r="M436" s="19" t="s">
        <v>70</v>
      </c>
      <c r="N436" s="19" t="s">
        <v>1025</v>
      </c>
      <c r="O436" s="19" t="s">
        <v>70</v>
      </c>
      <c r="P436" s="19" t="s">
        <v>72</v>
      </c>
      <c r="Q436" s="19" t="s">
        <v>1322</v>
      </c>
      <c r="R436" s="19" t="s">
        <v>2110</v>
      </c>
      <c r="S436" s="19"/>
      <c r="T436" s="19" t="s">
        <v>54</v>
      </c>
      <c r="U436" s="19" t="s">
        <v>55</v>
      </c>
      <c r="V436" s="19" t="s">
        <v>271</v>
      </c>
      <c r="W436" s="19" t="s">
        <v>122</v>
      </c>
      <c r="X436" s="19"/>
      <c r="Y436" s="19"/>
      <c r="Z436" s="19" t="s">
        <v>2111</v>
      </c>
      <c r="AA436" s="19">
        <v>1</v>
      </c>
      <c r="AB436" s="19">
        <v>1</v>
      </c>
      <c r="AC436" s="19" t="s">
        <v>60</v>
      </c>
      <c r="AD436" s="19" t="s">
        <v>72</v>
      </c>
      <c r="AE436" s="19" t="s">
        <v>1953</v>
      </c>
      <c r="AF436" s="19"/>
    </row>
    <row r="437" spans="1:34" customHeight="1" ht="42">
      <c r="A437" s="19">
        <v>428</v>
      </c>
      <c r="B437" s="19" t="s">
        <v>1895</v>
      </c>
      <c r="C437" s="19" t="s">
        <v>1633</v>
      </c>
      <c r="D437" s="19" t="str">
        <f>HYPERLINK("http://www.henontech.com/fieldsafety/harzard/harzard_show.php?rid=11176&amp;url=harzardrecs.php","送煤车1#刮板机篦子断裂，操作人员在打扫煤粉过程中不慎掉进刮板机导致该操作工右腿骨折住院治疗一月在家修养两个月后康复，造成一人损工事故。")</f>
        <v>送煤车1#刮板机篦子断裂，操作人员在打扫煤粉过程中不慎掉进刮板机导致该操作工右腿骨折住院治疗一月在家修养两个月后康复，造成一人损工事故。</v>
      </c>
      <c r="E437" s="19" t="s">
        <v>2112</v>
      </c>
      <c r="F437" s="20" t="s">
        <v>42</v>
      </c>
      <c r="G437" s="22" t="s">
        <v>66</v>
      </c>
      <c r="H437" s="19" t="s">
        <v>44</v>
      </c>
      <c r="I437" s="19" t="s">
        <v>67</v>
      </c>
      <c r="J437" s="19" t="s">
        <v>401</v>
      </c>
      <c r="K437" s="19" t="s">
        <v>47</v>
      </c>
      <c r="L437" s="19"/>
      <c r="M437" s="19" t="s">
        <v>117</v>
      </c>
      <c r="N437" s="19" t="s">
        <v>2113</v>
      </c>
      <c r="O437" s="19" t="s">
        <v>117</v>
      </c>
      <c r="P437" s="19" t="s">
        <v>224</v>
      </c>
      <c r="Q437" s="19" t="s">
        <v>1937</v>
      </c>
      <c r="R437" s="19" t="s">
        <v>1480</v>
      </c>
      <c r="S437" s="19"/>
      <c r="T437" s="19" t="s">
        <v>54</v>
      </c>
      <c r="U437" s="19" t="s">
        <v>55</v>
      </c>
      <c r="V437" s="19" t="s">
        <v>56</v>
      </c>
      <c r="W437" s="19" t="s">
        <v>57</v>
      </c>
      <c r="X437" s="19" t="s">
        <v>58</v>
      </c>
      <c r="Y437" s="19"/>
      <c r="Z437" s="19" t="s">
        <v>2114</v>
      </c>
      <c r="AA437" s="19">
        <v>2</v>
      </c>
      <c r="AB437" s="19">
        <v>2</v>
      </c>
      <c r="AC437" s="19" t="s">
        <v>60</v>
      </c>
      <c r="AD437" s="19" t="s">
        <v>224</v>
      </c>
      <c r="AE437" s="19" t="s">
        <v>1074</v>
      </c>
      <c r="AF437" s="19"/>
    </row>
    <row r="438" spans="1:34">
      <c r="A438" s="19">
        <v>429</v>
      </c>
      <c r="B438" s="19" t="s">
        <v>1895</v>
      </c>
      <c r="C438" s="19" t="s">
        <v>2115</v>
      </c>
      <c r="D438" s="19" t="str">
        <f>HYPERLINK("http://www.henontech.com/fieldsafety/harzard/harzard_show.php?rid=11177&amp;url=harzardrecs.php","热力车间院西北角污水盖板缺央，一操作工在打扫卫生时，不小心掉入地沟，扭伤脚腕，休班三天。")</f>
        <v>热力车间院西北角污水盖板缺央，一操作工在打扫卫生时，不小心掉入地沟，扭伤脚腕，休班三天。</v>
      </c>
      <c r="E438" s="19" t="s">
        <v>2116</v>
      </c>
      <c r="F438" s="24" t="s">
        <v>387</v>
      </c>
      <c r="G438" s="21" t="s">
        <v>43</v>
      </c>
      <c r="H438" s="19" t="s">
        <v>44</v>
      </c>
      <c r="I438" s="19" t="s">
        <v>83</v>
      </c>
      <c r="J438" s="19" t="s">
        <v>68</v>
      </c>
      <c r="K438" s="19"/>
      <c r="L438" s="19"/>
      <c r="M438" s="19" t="s">
        <v>84</v>
      </c>
      <c r="N438" s="19" t="s">
        <v>2117</v>
      </c>
      <c r="O438" s="19"/>
      <c r="P438" s="19"/>
      <c r="Q438" s="19"/>
      <c r="R438" s="19" t="s">
        <v>2115</v>
      </c>
      <c r="S438" s="19" t="s">
        <v>2118</v>
      </c>
      <c r="T438" s="19" t="s">
        <v>54</v>
      </c>
      <c r="U438" s="19" t="s">
        <v>75</v>
      </c>
      <c r="V438" s="19" t="s">
        <v>76</v>
      </c>
      <c r="W438" s="19" t="s">
        <v>77</v>
      </c>
      <c r="X438" s="19"/>
      <c r="Y438" s="19"/>
      <c r="Z438" s="19"/>
      <c r="AA438" s="19">
        <v>0</v>
      </c>
      <c r="AB438" s="19"/>
      <c r="AC438" s="19" t="s">
        <v>392</v>
      </c>
      <c r="AD438" s="19"/>
      <c r="AE438" s="19"/>
      <c r="AF438" s="19"/>
    </row>
    <row r="439" spans="1:34">
      <c r="A439" s="19">
        <v>430</v>
      </c>
      <c r="B439" s="19" t="s">
        <v>1895</v>
      </c>
      <c r="C439" s="19" t="s">
        <v>2119</v>
      </c>
      <c r="D439" s="19" t="str">
        <f>HYPERLINK("http://www.henontech.com/fieldsafety/harzard/harzard_show.php?rid=11178&amp;url=harzardrecs.php","EDI产水压力软管破裂，设备停运一小时")</f>
        <v>EDI产水压力软管破裂，设备停运一小时</v>
      </c>
      <c r="E439" s="19" t="s">
        <v>2120</v>
      </c>
      <c r="F439" s="24" t="s">
        <v>387</v>
      </c>
      <c r="G439" s="21" t="s">
        <v>43</v>
      </c>
      <c r="H439" s="19" t="s">
        <v>44</v>
      </c>
      <c r="I439" s="19" t="s">
        <v>67</v>
      </c>
      <c r="J439" s="19" t="s">
        <v>46</v>
      </c>
      <c r="K439" s="19" t="s">
        <v>145</v>
      </c>
      <c r="L439" s="19"/>
      <c r="M439" s="19" t="s">
        <v>84</v>
      </c>
      <c r="N439" s="19" t="s">
        <v>2121</v>
      </c>
      <c r="O439" s="19"/>
      <c r="P439" s="19"/>
      <c r="Q439" s="19"/>
      <c r="R439" s="19" t="s">
        <v>2122</v>
      </c>
      <c r="S439" s="19" t="s">
        <v>2095</v>
      </c>
      <c r="T439" s="19" t="s">
        <v>100</v>
      </c>
      <c r="U439" s="19" t="s">
        <v>192</v>
      </c>
      <c r="V439" s="19" t="s">
        <v>271</v>
      </c>
      <c r="W439" s="19" t="s">
        <v>77</v>
      </c>
      <c r="X439" s="19"/>
      <c r="Y439" s="19"/>
      <c r="Z439" s="19"/>
      <c r="AA439" s="19">
        <v>0</v>
      </c>
      <c r="AB439" s="19"/>
      <c r="AC439" s="19" t="s">
        <v>392</v>
      </c>
      <c r="AD439" s="19"/>
      <c r="AE439" s="19"/>
      <c r="AF439" s="19"/>
    </row>
    <row r="440" spans="1:34" customHeight="1" ht="42">
      <c r="A440" s="19">
        <v>431</v>
      </c>
      <c r="B440" s="19" t="s">
        <v>1895</v>
      </c>
      <c r="C440" s="19" t="s">
        <v>2123</v>
      </c>
      <c r="D440" s="19" t="str">
        <f>HYPERLINK("http://www.henontech.com/fieldsafety/harzard/harzard_show.php?rid=11228&amp;url=harzardrecs.php","5.5米焦炉，一名操作工在攀爬除尘过程中，未系安全带，高度6米，假如不慎从爬梯摔落，造成腿部骨折，住院40天，休养5个月康复。")</f>
        <v>5.5米焦炉，一名操作工在攀爬除尘过程中，未系安全带，高度6米，假如不慎从爬梯摔落，造成腿部骨折，住院40天，休养5个月康复。</v>
      </c>
      <c r="E440" s="19" t="s">
        <v>2124</v>
      </c>
      <c r="F440" s="20" t="s">
        <v>42</v>
      </c>
      <c r="G440" s="21" t="s">
        <v>43</v>
      </c>
      <c r="H440" s="19" t="s">
        <v>44</v>
      </c>
      <c r="I440" s="19"/>
      <c r="J440" s="19" t="s">
        <v>46</v>
      </c>
      <c r="K440" s="19" t="s">
        <v>47</v>
      </c>
      <c r="L440" s="19" t="s">
        <v>48</v>
      </c>
      <c r="M440" s="19" t="s">
        <v>117</v>
      </c>
      <c r="N440" s="19" t="s">
        <v>1621</v>
      </c>
      <c r="O440" s="19" t="s">
        <v>117</v>
      </c>
      <c r="P440" s="19" t="s">
        <v>224</v>
      </c>
      <c r="Q440" s="19" t="s">
        <v>1937</v>
      </c>
      <c r="R440" s="19" t="s">
        <v>2125</v>
      </c>
      <c r="S440" s="19"/>
      <c r="T440" s="19" t="s">
        <v>54</v>
      </c>
      <c r="U440" s="19" t="s">
        <v>55</v>
      </c>
      <c r="V440" s="19" t="s">
        <v>56</v>
      </c>
      <c r="W440" s="19" t="s">
        <v>57</v>
      </c>
      <c r="X440" s="19"/>
      <c r="Y440" s="19" t="s">
        <v>123</v>
      </c>
      <c r="Z440" s="19" t="s">
        <v>2126</v>
      </c>
      <c r="AA440" s="19">
        <v>2</v>
      </c>
      <c r="AB440" s="19">
        <v>2</v>
      </c>
      <c r="AC440" s="19" t="s">
        <v>60</v>
      </c>
      <c r="AD440" s="19" t="s">
        <v>224</v>
      </c>
      <c r="AE440" s="19" t="s">
        <v>1132</v>
      </c>
      <c r="AF440" s="19"/>
    </row>
    <row r="441" spans="1:34" customHeight="1" ht="42">
      <c r="A441" s="19">
        <v>432</v>
      </c>
      <c r="B441" s="19" t="s">
        <v>1895</v>
      </c>
      <c r="C441" s="19" t="s">
        <v>1458</v>
      </c>
      <c r="D441" s="19" t="str">
        <f>HYPERLINK("http://www.henontech.com/fieldsafety/harzard/harzard_show.php?rid=11229&amp;url=harzardrecs.php","5.5米推焦车启门器铜套窜出，假如在启门过程中铜套窜出，造成启门器失去平衡，启门器别坏。停止出焦4小时。")</f>
        <v>5.5米推焦车启门器铜套窜出，假如在启门过程中铜套窜出，造成启门器失去平衡，启门器别坏。停止出焦4小时。</v>
      </c>
      <c r="E441" s="19" t="s">
        <v>2127</v>
      </c>
      <c r="F441" s="20" t="s">
        <v>42</v>
      </c>
      <c r="G441" s="21" t="s">
        <v>43</v>
      </c>
      <c r="H441" s="19" t="s">
        <v>44</v>
      </c>
      <c r="I441" s="19" t="s">
        <v>67</v>
      </c>
      <c r="J441" s="19" t="s">
        <v>46</v>
      </c>
      <c r="K441" s="19" t="s">
        <v>47</v>
      </c>
      <c r="L441" s="19" t="s">
        <v>48</v>
      </c>
      <c r="M441" s="19" t="s">
        <v>117</v>
      </c>
      <c r="N441" s="19" t="s">
        <v>1625</v>
      </c>
      <c r="O441" s="19" t="s">
        <v>117</v>
      </c>
      <c r="P441" s="19" t="s">
        <v>224</v>
      </c>
      <c r="Q441" s="19" t="s">
        <v>1937</v>
      </c>
      <c r="R441" s="19" t="s">
        <v>1458</v>
      </c>
      <c r="S441" s="19"/>
      <c r="T441" s="19" t="s">
        <v>100</v>
      </c>
      <c r="U441" s="19" t="s">
        <v>55</v>
      </c>
      <c r="V441" s="19" t="s">
        <v>56</v>
      </c>
      <c r="W441" s="19" t="s">
        <v>57</v>
      </c>
      <c r="X441" s="19" t="s">
        <v>58</v>
      </c>
      <c r="Y441" s="19"/>
      <c r="Z441" s="19" t="s">
        <v>2128</v>
      </c>
      <c r="AA441" s="19">
        <v>2</v>
      </c>
      <c r="AB441" s="19">
        <v>2</v>
      </c>
      <c r="AC441" s="19" t="s">
        <v>60</v>
      </c>
      <c r="AD441" s="19" t="s">
        <v>224</v>
      </c>
      <c r="AE441" s="19" t="s">
        <v>1074</v>
      </c>
      <c r="AF441" s="19"/>
    </row>
    <row r="442" spans="1:34" customHeight="1" ht="42">
      <c r="A442" s="19">
        <v>433</v>
      </c>
      <c r="B442" s="19" t="s">
        <v>1895</v>
      </c>
      <c r="C442" s="19" t="s">
        <v>2129</v>
      </c>
      <c r="D442" s="19" t="str">
        <f>HYPERLINK("http://www.henontech.com/fieldsafety/harzard/harzard_show.php?rid=11239&amp;url=harzardrecs.php","一名巡检工在巡检时，不小心掉入电缆沟中，造成腿部受伤。")</f>
        <v>一名巡检工在巡检时，不小心掉入电缆沟中，造成腿部受伤。</v>
      </c>
      <c r="E442" s="19" t="s">
        <v>2130</v>
      </c>
      <c r="F442" s="25" t="s">
        <v>1853</v>
      </c>
      <c r="G442" s="21" t="s">
        <v>43</v>
      </c>
      <c r="H442" s="19" t="s">
        <v>44</v>
      </c>
      <c r="I442" s="19" t="s">
        <v>45</v>
      </c>
      <c r="J442" s="19" t="s">
        <v>46</v>
      </c>
      <c r="K442" s="19" t="s">
        <v>145</v>
      </c>
      <c r="L442" s="19"/>
      <c r="M442" s="19" t="s">
        <v>84</v>
      </c>
      <c r="N442" s="19" t="s">
        <v>2131</v>
      </c>
      <c r="O442" s="19" t="s">
        <v>84</v>
      </c>
      <c r="P442" s="19" t="s">
        <v>808</v>
      </c>
      <c r="Q442" s="19" t="s">
        <v>2132</v>
      </c>
      <c r="R442" s="19" t="s">
        <v>2133</v>
      </c>
      <c r="S442" s="19"/>
      <c r="T442" s="19" t="s">
        <v>54</v>
      </c>
      <c r="U442" s="19" t="s">
        <v>55</v>
      </c>
      <c r="V442" s="19" t="s">
        <v>56</v>
      </c>
      <c r="W442" s="19" t="s">
        <v>57</v>
      </c>
      <c r="X442" s="19" t="s">
        <v>58</v>
      </c>
      <c r="Y442" s="19"/>
      <c r="Z442" s="19" t="s">
        <v>2134</v>
      </c>
      <c r="AA442" s="19">
        <v>2</v>
      </c>
      <c r="AB442" s="19"/>
      <c r="AC442" s="19" t="s">
        <v>392</v>
      </c>
      <c r="AD442" s="19"/>
      <c r="AE442" s="19"/>
      <c r="AF442" s="19"/>
    </row>
    <row r="443" spans="1:34">
      <c r="A443" s="19">
        <v>434</v>
      </c>
      <c r="B443" s="19" t="s">
        <v>1895</v>
      </c>
      <c r="C443" s="19" t="s">
        <v>2135</v>
      </c>
      <c r="D443" s="19" t="str">
        <f>HYPERLINK("http://www.henontech.com/fieldsafety/harzard/harzard_show.php?rid=11248&amp;url=harzardrecs.php","二号皮带中部位置，照明光线不好，员工在此操作时，易导致伤害事故发生。造成脚踝扭伤，手臂皮肤擦伤。")</f>
        <v>二号皮带中部位置，照明光线不好，员工在此操作时，易导致伤害事故发生。造成脚踝扭伤，手臂皮肤擦伤。</v>
      </c>
      <c r="E443" s="19" t="s">
        <v>2136</v>
      </c>
      <c r="F443" s="24" t="s">
        <v>387</v>
      </c>
      <c r="G443" s="21" t="s">
        <v>43</v>
      </c>
      <c r="H443" s="19" t="s">
        <v>44</v>
      </c>
      <c r="I443" s="19" t="s">
        <v>67</v>
      </c>
      <c r="J443" s="19" t="s">
        <v>46</v>
      </c>
      <c r="K443" s="19" t="s">
        <v>145</v>
      </c>
      <c r="L443" s="19" t="s">
        <v>48</v>
      </c>
      <c r="M443" s="19" t="s">
        <v>84</v>
      </c>
      <c r="N443" s="19" t="s">
        <v>2137</v>
      </c>
      <c r="O443" s="19"/>
      <c r="P443" s="19"/>
      <c r="Q443" s="19"/>
      <c r="R443" s="19" t="s">
        <v>2138</v>
      </c>
      <c r="S443" s="19" t="s">
        <v>2139</v>
      </c>
      <c r="T443" s="19" t="s">
        <v>54</v>
      </c>
      <c r="U443" s="19" t="s">
        <v>55</v>
      </c>
      <c r="V443" s="19" t="s">
        <v>56</v>
      </c>
      <c r="W443" s="19" t="s">
        <v>57</v>
      </c>
      <c r="X443" s="19"/>
      <c r="Y443" s="19"/>
      <c r="Z443" s="19"/>
      <c r="AA443" s="19">
        <v>0</v>
      </c>
      <c r="AB443" s="19"/>
      <c r="AC443" s="19" t="s">
        <v>392</v>
      </c>
      <c r="AD443" s="19"/>
      <c r="AE443" s="19"/>
      <c r="AF443" s="19"/>
    </row>
    <row r="444" spans="1:34">
      <c r="A444" s="19">
        <v>435</v>
      </c>
      <c r="B444" s="19" t="s">
        <v>1895</v>
      </c>
      <c r="C444" s="19" t="s">
        <v>2140</v>
      </c>
      <c r="D444" s="19" t="str">
        <f>HYPERLINK("http://www.henontech.com/fieldsafety/harzard/harzard_show.php?rid=11259&amp;url=harzardrecs.php","一名巡检工在巡检皮带时被三号皮带急停钢丝绳绊倒，造成手臂骨折，送医院就治。")</f>
        <v>一名巡检工在巡检皮带时被三号皮带急停钢丝绳绊倒，造成手臂骨折，送医院就治。</v>
      </c>
      <c r="E444" s="19" t="s">
        <v>2141</v>
      </c>
      <c r="F444" s="24" t="s">
        <v>387</v>
      </c>
      <c r="G444" s="21" t="s">
        <v>43</v>
      </c>
      <c r="H444" s="19" t="s">
        <v>44</v>
      </c>
      <c r="I444" s="19" t="s">
        <v>45</v>
      </c>
      <c r="J444" s="19" t="s">
        <v>46</v>
      </c>
      <c r="K444" s="19" t="s">
        <v>145</v>
      </c>
      <c r="L444" s="19"/>
      <c r="M444" s="19" t="s">
        <v>84</v>
      </c>
      <c r="N444" s="19" t="s">
        <v>2142</v>
      </c>
      <c r="O444" s="19"/>
      <c r="P444" s="19"/>
      <c r="Q444" s="19"/>
      <c r="R444" s="19" t="s">
        <v>2143</v>
      </c>
      <c r="S444" s="19" t="s">
        <v>2095</v>
      </c>
      <c r="T444" s="19" t="s">
        <v>54</v>
      </c>
      <c r="U444" s="19" t="s">
        <v>55</v>
      </c>
      <c r="V444" s="19" t="s">
        <v>56</v>
      </c>
      <c r="W444" s="19" t="s">
        <v>57</v>
      </c>
      <c r="X444" s="19"/>
      <c r="Y444" s="19"/>
      <c r="Z444" s="19"/>
      <c r="AA444" s="19">
        <v>0</v>
      </c>
      <c r="AB444" s="19"/>
      <c r="AC444" s="19" t="s">
        <v>392</v>
      </c>
      <c r="AD444" s="19"/>
      <c r="AE444" s="19"/>
      <c r="AF444" s="19"/>
    </row>
    <row r="445" spans="1:34">
      <c r="A445" s="19">
        <v>436</v>
      </c>
      <c r="B445" s="19" t="s">
        <v>1895</v>
      </c>
      <c r="C445" s="19" t="s">
        <v>1387</v>
      </c>
      <c r="D445" s="19" t="str">
        <f>HYPERLINK("http://www.henontech.com/fieldsafety/harzard/harzard_show.php?rid=11263&amp;url=harzardrecs.php","西硫铵西母液槽一补液阀门盘根坏漏液，一名操作工在夜间开关此阀门时被喷出的母液溅入左眼中，因母液含有硫酸，虽然用大量清水冲洗还是导致左眼失明")</f>
        <v>西硫铵西母液槽一补液阀门盘根坏漏液，一名操作工在夜间开关此阀门时被喷出的母液溅入左眼中，因母液含有硫酸，虽然用大量清水冲洗还是导致左眼失明</v>
      </c>
      <c r="E445" s="19" t="s">
        <v>2144</v>
      </c>
      <c r="F445" s="20" t="s">
        <v>42</v>
      </c>
      <c r="G445" s="21" t="s">
        <v>43</v>
      </c>
      <c r="H445" s="19" t="s">
        <v>44</v>
      </c>
      <c r="I445" s="19"/>
      <c r="J445" s="19" t="s">
        <v>46</v>
      </c>
      <c r="K445" s="19" t="s">
        <v>69</v>
      </c>
      <c r="L445" s="19" t="s">
        <v>48</v>
      </c>
      <c r="M445" s="19" t="s">
        <v>70</v>
      </c>
      <c r="N445" s="19" t="s">
        <v>2145</v>
      </c>
      <c r="O445" s="19" t="s">
        <v>70</v>
      </c>
      <c r="P445" s="19" t="s">
        <v>72</v>
      </c>
      <c r="Q445" s="19" t="s">
        <v>1322</v>
      </c>
      <c r="R445" s="19" t="s">
        <v>2146</v>
      </c>
      <c r="S445" s="19"/>
      <c r="T445" s="19" t="s">
        <v>54</v>
      </c>
      <c r="U445" s="19" t="s">
        <v>55</v>
      </c>
      <c r="V445" s="19" t="s">
        <v>56</v>
      </c>
      <c r="W445" s="19" t="s">
        <v>57</v>
      </c>
      <c r="X445" s="19"/>
      <c r="Y445" s="19"/>
      <c r="Z445" s="19" t="s">
        <v>2147</v>
      </c>
      <c r="AA445" s="19">
        <v>1</v>
      </c>
      <c r="AB445" s="19">
        <v>1</v>
      </c>
      <c r="AC445" s="19" t="s">
        <v>60</v>
      </c>
      <c r="AD445" s="19" t="s">
        <v>72</v>
      </c>
      <c r="AE445" s="19" t="s">
        <v>1953</v>
      </c>
      <c r="AF445" s="19"/>
    </row>
    <row r="446" spans="1:34">
      <c r="A446" s="19">
        <v>437</v>
      </c>
      <c r="B446" s="19" t="s">
        <v>1848</v>
      </c>
      <c r="C446" s="19" t="s">
        <v>1639</v>
      </c>
      <c r="D446" s="19" t="str">
        <f>HYPERLINK("http://www.henontech.com/fieldsafety/harzard/harzard_show.php?rid=11271&amp;url=harzardrecs.php","两盐操作室照明开关未固定，可能造成一人员在开关时因辨识缺陷触碰到电源线，造成该操作工触电")</f>
        <v>两盐操作室照明开关未固定，可能造成一人员在开关时因辨识缺陷触碰到电源线，造成该操作工触电</v>
      </c>
      <c r="E446" s="19" t="s">
        <v>2148</v>
      </c>
      <c r="F446" s="25" t="s">
        <v>1853</v>
      </c>
      <c r="G446" s="21" t="s">
        <v>43</v>
      </c>
      <c r="H446" s="19" t="s">
        <v>44</v>
      </c>
      <c r="I446" s="19" t="s">
        <v>45</v>
      </c>
      <c r="J446" s="19" t="s">
        <v>202</v>
      </c>
      <c r="K446" s="19" t="s">
        <v>145</v>
      </c>
      <c r="L446" s="19" t="s">
        <v>48</v>
      </c>
      <c r="M446" s="19" t="s">
        <v>70</v>
      </c>
      <c r="N446" s="19" t="s">
        <v>1847</v>
      </c>
      <c r="O446" s="19" t="s">
        <v>70</v>
      </c>
      <c r="P446" s="19" t="s">
        <v>72</v>
      </c>
      <c r="Q446" s="19" t="s">
        <v>1322</v>
      </c>
      <c r="R446" s="19" t="s">
        <v>2149</v>
      </c>
      <c r="S446" s="19"/>
      <c r="T446" s="19" t="s">
        <v>54</v>
      </c>
      <c r="U446" s="19" t="s">
        <v>121</v>
      </c>
      <c r="V446" s="19" t="s">
        <v>101</v>
      </c>
      <c r="W446" s="19" t="s">
        <v>57</v>
      </c>
      <c r="X446" s="19"/>
      <c r="Y446" s="19"/>
      <c r="Z446" s="19" t="s">
        <v>2150</v>
      </c>
      <c r="AA446" s="19">
        <v>1</v>
      </c>
      <c r="AB446" s="19"/>
      <c r="AC446" s="19" t="s">
        <v>392</v>
      </c>
      <c r="AD446" s="19"/>
      <c r="AE446" s="19"/>
      <c r="AF446" s="19"/>
    </row>
    <row r="447" spans="1:34" customHeight="1" ht="42">
      <c r="A447" s="19">
        <v>438</v>
      </c>
      <c r="B447" s="19" t="s">
        <v>1848</v>
      </c>
      <c r="C447" s="19" t="s">
        <v>485</v>
      </c>
      <c r="D447" s="19" t="str">
        <f>HYPERLINK("http://www.henontech.com/fieldsafety/harzard/harzard_show.php?rid=11275&amp;url=harzardrecs.php","导烟车油站油质过脏，一旦导致电磁阀堵塞电磁阀不能回位将造成油缸无法起落造成导烟车导套吊臂无法正常工作，停止出焦4个小时")</f>
        <v>导烟车油站油质过脏，一旦导致电磁阀堵塞电磁阀不能回位将造成油缸无法起落造成导烟车导套吊臂无法正常工作，停止出焦4个小时</v>
      </c>
      <c r="E447" s="19" t="s">
        <v>2151</v>
      </c>
      <c r="F447" s="20" t="s">
        <v>42</v>
      </c>
      <c r="G447" s="21" t="s">
        <v>43</v>
      </c>
      <c r="H447" s="19" t="s">
        <v>44</v>
      </c>
      <c r="I447" s="19" t="s">
        <v>67</v>
      </c>
      <c r="J447" s="19" t="s">
        <v>260</v>
      </c>
      <c r="K447" s="19" t="s">
        <v>69</v>
      </c>
      <c r="L447" s="19" t="s">
        <v>48</v>
      </c>
      <c r="M447" s="19" t="s">
        <v>117</v>
      </c>
      <c r="N447" s="19" t="s">
        <v>1611</v>
      </c>
      <c r="O447" s="19" t="s">
        <v>117</v>
      </c>
      <c r="P447" s="19" t="s">
        <v>224</v>
      </c>
      <c r="Q447" s="19" t="s">
        <v>1937</v>
      </c>
      <c r="R447" s="19" t="s">
        <v>1622</v>
      </c>
      <c r="S447" s="19"/>
      <c r="T447" s="19" t="s">
        <v>100</v>
      </c>
      <c r="U447" s="19" t="s">
        <v>55</v>
      </c>
      <c r="V447" s="19" t="s">
        <v>56</v>
      </c>
      <c r="W447" s="19" t="s">
        <v>57</v>
      </c>
      <c r="X447" s="19" t="s">
        <v>172</v>
      </c>
      <c r="Y447" s="19"/>
      <c r="Z447" s="19" t="s">
        <v>2152</v>
      </c>
      <c r="AA447" s="19">
        <v>2</v>
      </c>
      <c r="AB447" s="19">
        <v>2</v>
      </c>
      <c r="AC447" s="19" t="s">
        <v>60</v>
      </c>
      <c r="AD447" s="19" t="s">
        <v>224</v>
      </c>
      <c r="AE447" s="19" t="s">
        <v>1132</v>
      </c>
      <c r="AF447" s="19" t="s">
        <v>2153</v>
      </c>
    </row>
    <row r="448" spans="1:34">
      <c r="A448" s="19">
        <v>439</v>
      </c>
      <c r="B448" s="19" t="s">
        <v>1848</v>
      </c>
      <c r="C448" s="19" t="s">
        <v>2115</v>
      </c>
      <c r="D448" s="19" t="str">
        <f>HYPERLINK("http://www.henontech.com/fieldsafety/harzard/harzard_show.php?rid=11308&amp;url=harzardrecs.php","煤场抓斗主绳串柱销受长期磨损，抓斗脱落，将一名巡检人员砸伤，送医院抢救无效死亡")</f>
        <v>煤场抓斗主绳串柱销受长期磨损，抓斗脱落，将一名巡检人员砸伤，送医院抢救无效死亡</v>
      </c>
      <c r="E448" s="19" t="s">
        <v>2154</v>
      </c>
      <c r="F448" s="24" t="s">
        <v>387</v>
      </c>
      <c r="G448" s="21" t="s">
        <v>43</v>
      </c>
      <c r="H448" s="19" t="s">
        <v>44</v>
      </c>
      <c r="I448" s="19"/>
      <c r="J448" s="19" t="s">
        <v>46</v>
      </c>
      <c r="K448" s="19"/>
      <c r="L448" s="19"/>
      <c r="M448" s="19" t="s">
        <v>84</v>
      </c>
      <c r="N448" s="19" t="s">
        <v>2155</v>
      </c>
      <c r="O448" s="19"/>
      <c r="P448" s="19"/>
      <c r="Q448" s="19"/>
      <c r="R448" s="19" t="s">
        <v>2156</v>
      </c>
      <c r="S448" s="19" t="s">
        <v>2118</v>
      </c>
      <c r="T448" s="19" t="s">
        <v>54</v>
      </c>
      <c r="U448" s="19" t="s">
        <v>121</v>
      </c>
      <c r="V448" s="19" t="s">
        <v>56</v>
      </c>
      <c r="W448" s="19" t="s">
        <v>122</v>
      </c>
      <c r="X448" s="19"/>
      <c r="Y448" s="19"/>
      <c r="Z448" s="19"/>
      <c r="AA448" s="19">
        <v>0</v>
      </c>
      <c r="AB448" s="19"/>
      <c r="AC448" s="19" t="s">
        <v>392</v>
      </c>
      <c r="AD448" s="19"/>
      <c r="AE448" s="19"/>
      <c r="AF448" s="19"/>
    </row>
    <row r="449" spans="1:34" customHeight="1" ht="42">
      <c r="A449" s="19">
        <v>440</v>
      </c>
      <c r="B449" s="19" t="s">
        <v>1848</v>
      </c>
      <c r="C449" s="19" t="s">
        <v>2115</v>
      </c>
      <c r="D449" s="19" t="str">
        <f>HYPERLINK("http://www.henontech.com/fieldsafety/harzard/harzard_show.php?rid=11309&amp;url=harzardrecs.php","煤场抓斗主绳串柱销受长期磨损，抓斗脱落，将一名巡检人员砸伤，送医院抢救无效死亡")</f>
        <v>煤场抓斗主绳串柱销受长期磨损，抓斗脱落，将一名巡检人员砸伤，送医院抢救无效死亡</v>
      </c>
      <c r="E449" s="19" t="s">
        <v>2157</v>
      </c>
      <c r="F449" s="25" t="s">
        <v>1853</v>
      </c>
      <c r="G449" s="21" t="s">
        <v>43</v>
      </c>
      <c r="H449" s="19" t="s">
        <v>875</v>
      </c>
      <c r="I449" s="19"/>
      <c r="J449" s="19" t="s">
        <v>46</v>
      </c>
      <c r="K449" s="19"/>
      <c r="L449" s="19"/>
      <c r="M449" s="19" t="s">
        <v>84</v>
      </c>
      <c r="N449" s="19" t="s">
        <v>2155</v>
      </c>
      <c r="O449" s="19" t="s">
        <v>84</v>
      </c>
      <c r="P449" s="19" t="s">
        <v>85</v>
      </c>
      <c r="Q449" s="19" t="s">
        <v>2132</v>
      </c>
      <c r="R449" s="19" t="s">
        <v>2156</v>
      </c>
      <c r="S449" s="19"/>
      <c r="T449" s="19" t="s">
        <v>54</v>
      </c>
      <c r="U449" s="19" t="s">
        <v>121</v>
      </c>
      <c r="V449" s="19" t="s">
        <v>56</v>
      </c>
      <c r="W449" s="19" t="s">
        <v>122</v>
      </c>
      <c r="X449" s="19" t="s">
        <v>58</v>
      </c>
      <c r="Y449" s="19"/>
      <c r="Z449" s="19" t="s">
        <v>2158</v>
      </c>
      <c r="AA449" s="19">
        <v>2</v>
      </c>
      <c r="AB449" s="19"/>
      <c r="AC449" s="19" t="s">
        <v>392</v>
      </c>
      <c r="AD449" s="19"/>
      <c r="AE449" s="19"/>
      <c r="AF449" s="19"/>
    </row>
    <row r="450" spans="1:34">
      <c r="A450" s="19">
        <v>441</v>
      </c>
      <c r="B450" s="19" t="s">
        <v>1848</v>
      </c>
      <c r="C450" s="19" t="s">
        <v>458</v>
      </c>
      <c r="D450" s="19" t="str">
        <f>HYPERLINK("http://www.henontech.com/fieldsafety/harzard/harzard_show.php?rid=11311&amp;url=harzardrecs.php","西硫铵配电室外接电源电缆杂乱，使用后未及时拆除，夜班时一名巡检工经过被绊倒，造成手部骨折！")</f>
        <v>西硫铵配电室外接电源电缆杂乱，使用后未及时拆除，夜班时一名巡检工经过被绊倒，造成手部骨折！</v>
      </c>
      <c r="E450" s="19" t="s">
        <v>2159</v>
      </c>
      <c r="F450" s="25" t="s">
        <v>1853</v>
      </c>
      <c r="G450" s="21" t="s">
        <v>43</v>
      </c>
      <c r="H450" s="19" t="s">
        <v>44</v>
      </c>
      <c r="I450" s="19" t="s">
        <v>45</v>
      </c>
      <c r="J450" s="19" t="s">
        <v>68</v>
      </c>
      <c r="K450" s="19" t="s">
        <v>69</v>
      </c>
      <c r="L450" s="19" t="s">
        <v>48</v>
      </c>
      <c r="M450" s="19" t="s">
        <v>70</v>
      </c>
      <c r="N450" s="19" t="s">
        <v>724</v>
      </c>
      <c r="O450" s="19" t="s">
        <v>70</v>
      </c>
      <c r="P450" s="19" t="s">
        <v>72</v>
      </c>
      <c r="Q450" s="19" t="s">
        <v>1322</v>
      </c>
      <c r="R450" s="19" t="s">
        <v>2160</v>
      </c>
      <c r="S450" s="19"/>
      <c r="T450" s="19" t="s">
        <v>54</v>
      </c>
      <c r="U450" s="19" t="s">
        <v>55</v>
      </c>
      <c r="V450" s="19" t="s">
        <v>101</v>
      </c>
      <c r="W450" s="19" t="s">
        <v>138</v>
      </c>
      <c r="X450" s="19"/>
      <c r="Y450" s="19"/>
      <c r="Z450" s="19" t="s">
        <v>2161</v>
      </c>
      <c r="AA450" s="19">
        <v>1</v>
      </c>
      <c r="AB450" s="19"/>
      <c r="AC450" s="19" t="s">
        <v>392</v>
      </c>
      <c r="AD450" s="19"/>
      <c r="AE450" s="19"/>
      <c r="AF450" s="19"/>
    </row>
    <row r="451" spans="1:34">
      <c r="A451" s="19">
        <v>442</v>
      </c>
      <c r="B451" s="19" t="s">
        <v>1848</v>
      </c>
      <c r="C451" s="19" t="s">
        <v>1930</v>
      </c>
      <c r="D451" s="19" t="str">
        <f>HYPERLINK("http://www.henontech.com/fieldsafety/harzard/harzard_show.php?rid=11330&amp;url=harzardrecs.php","一名职工在巡检初冷器过程中由于穿线管破裂造成穿线管内电源线与穿线管接触造成漏电，职工在经过时用手触碰到该处护栏造成触电 ，手部有轻度灼伤后经医务室检查处理后，继续上班")</f>
        <v>一名职工在巡检初冷器过程中由于穿线管破裂造成穿线管内电源线与穿线管接触造成漏电，职工在经过时用手触碰到该处护栏造成触电 ，手部有轻度灼伤后经医务室检查处理后，继续上班</v>
      </c>
      <c r="E451" s="19" t="s">
        <v>641</v>
      </c>
      <c r="F451" s="20" t="s">
        <v>42</v>
      </c>
      <c r="G451" s="21" t="s">
        <v>43</v>
      </c>
      <c r="H451" s="19" t="s">
        <v>44</v>
      </c>
      <c r="I451" s="19" t="s">
        <v>45</v>
      </c>
      <c r="J451" s="19" t="s">
        <v>46</v>
      </c>
      <c r="K451" s="19" t="s">
        <v>69</v>
      </c>
      <c r="L451" s="19" t="s">
        <v>48</v>
      </c>
      <c r="M451" s="19" t="s">
        <v>70</v>
      </c>
      <c r="N451" s="19" t="s">
        <v>454</v>
      </c>
      <c r="O451" s="19" t="s">
        <v>70</v>
      </c>
      <c r="P451" s="19" t="s">
        <v>72</v>
      </c>
      <c r="Q451" s="19" t="s">
        <v>1322</v>
      </c>
      <c r="R451" s="19" t="s">
        <v>1932</v>
      </c>
      <c r="S451" s="19"/>
      <c r="T451" s="19" t="s">
        <v>54</v>
      </c>
      <c r="U451" s="19" t="s">
        <v>75</v>
      </c>
      <c r="V451" s="19" t="s">
        <v>271</v>
      </c>
      <c r="W451" s="19" t="s">
        <v>57</v>
      </c>
      <c r="X451" s="19"/>
      <c r="Y451" s="19"/>
      <c r="Z451" s="19" t="s">
        <v>2162</v>
      </c>
      <c r="AA451" s="19">
        <v>1</v>
      </c>
      <c r="AB451" s="19">
        <v>1</v>
      </c>
      <c r="AC451" s="19" t="s">
        <v>60</v>
      </c>
      <c r="AD451" s="19" t="s">
        <v>72</v>
      </c>
      <c r="AE451" s="19" t="s">
        <v>1074</v>
      </c>
      <c r="AF451" s="19"/>
    </row>
    <row r="452" spans="1:34">
      <c r="A452" s="19">
        <v>443</v>
      </c>
      <c r="B452" s="19" t="s">
        <v>1848</v>
      </c>
      <c r="C452" s="19" t="s">
        <v>1712</v>
      </c>
      <c r="D452" s="19" t="str">
        <f>HYPERLINK("http://www.henontech.com/fieldsafety/harzard/harzard_show.php?rid=11340&amp;url=harzardrecs.php","管廊管道保温吕皮松动，遇大风时吹落滑下擦伤操作工面部，去医务室处理后复工")</f>
        <v>管廊管道保温吕皮松动，遇大风时吹落滑下擦伤操作工面部，去医务室处理后复工</v>
      </c>
      <c r="E452" s="19" t="s">
        <v>2163</v>
      </c>
      <c r="F452" s="20" t="s">
        <v>42</v>
      </c>
      <c r="G452" s="21" t="s">
        <v>43</v>
      </c>
      <c r="H452" s="19" t="s">
        <v>44</v>
      </c>
      <c r="I452" s="19" t="s">
        <v>45</v>
      </c>
      <c r="J452" s="19" t="s">
        <v>46</v>
      </c>
      <c r="K452" s="19" t="s">
        <v>69</v>
      </c>
      <c r="L452" s="19" t="s">
        <v>48</v>
      </c>
      <c r="M452" s="19" t="s">
        <v>70</v>
      </c>
      <c r="N452" s="19" t="s">
        <v>720</v>
      </c>
      <c r="O452" s="19" t="s">
        <v>70</v>
      </c>
      <c r="P452" s="19" t="s">
        <v>72</v>
      </c>
      <c r="Q452" s="19" t="s">
        <v>1322</v>
      </c>
      <c r="R452" s="19" t="s">
        <v>2164</v>
      </c>
      <c r="S452" s="19"/>
      <c r="T452" s="19" t="s">
        <v>54</v>
      </c>
      <c r="U452" s="19" t="s">
        <v>75</v>
      </c>
      <c r="V452" s="19" t="s">
        <v>76</v>
      </c>
      <c r="W452" s="19" t="s">
        <v>77</v>
      </c>
      <c r="X452" s="19"/>
      <c r="Y452" s="19"/>
      <c r="Z452" s="19" t="s">
        <v>2165</v>
      </c>
      <c r="AA452" s="19">
        <v>1</v>
      </c>
      <c r="AB452" s="19">
        <v>1</v>
      </c>
      <c r="AC452" s="19" t="s">
        <v>60</v>
      </c>
      <c r="AD452" s="19" t="s">
        <v>72</v>
      </c>
      <c r="AE452" s="19" t="s">
        <v>1202</v>
      </c>
      <c r="AF452" s="19"/>
    </row>
    <row r="453" spans="1:34">
      <c r="A453" s="19">
        <v>444</v>
      </c>
      <c r="B453" s="19" t="s">
        <v>1848</v>
      </c>
      <c r="C453" s="19" t="s">
        <v>2166</v>
      </c>
      <c r="D453" s="19" t="str">
        <f>HYPERLINK("http://www.henontech.com/fieldsafety/harzard/harzard_show.php?rid=11349&amp;url=harzardrecs.php","南澄清槽机头腐蚀严重导致大量㴘氨气等废气，假如一名操作工巡检经过此处，吸入大量氨气导致中毒，送医院治疗五天，在家休养五天，康复上班，损工10天。")</f>
        <v>南澄清槽机头腐蚀严重导致大量㴘氨气等废气，假如一名操作工巡检经过此处，吸入大量氨气导致中毒，送医院治疗五天，在家休养五天，康复上班，损工10天。</v>
      </c>
      <c r="E453" s="19" t="s">
        <v>2167</v>
      </c>
      <c r="F453" s="20" t="s">
        <v>42</v>
      </c>
      <c r="G453" s="21" t="s">
        <v>43</v>
      </c>
      <c r="H453" s="19" t="s">
        <v>44</v>
      </c>
      <c r="I453" s="19" t="s">
        <v>45</v>
      </c>
      <c r="J453" s="19" t="s">
        <v>46</v>
      </c>
      <c r="K453" s="19" t="s">
        <v>69</v>
      </c>
      <c r="L453" s="19" t="s">
        <v>48</v>
      </c>
      <c r="M453" s="19" t="s">
        <v>70</v>
      </c>
      <c r="N453" s="19" t="s">
        <v>2168</v>
      </c>
      <c r="O453" s="19" t="s">
        <v>70</v>
      </c>
      <c r="P453" s="19" t="s">
        <v>72</v>
      </c>
      <c r="Q453" s="19" t="s">
        <v>1322</v>
      </c>
      <c r="R453" s="19" t="s">
        <v>2169</v>
      </c>
      <c r="S453" s="19"/>
      <c r="T453" s="19" t="s">
        <v>54</v>
      </c>
      <c r="U453" s="19" t="s">
        <v>55</v>
      </c>
      <c r="V453" s="19" t="s">
        <v>56</v>
      </c>
      <c r="W453" s="19" t="s">
        <v>57</v>
      </c>
      <c r="X453" s="19"/>
      <c r="Y453" s="19"/>
      <c r="Z453" s="19" t="s">
        <v>2170</v>
      </c>
      <c r="AA453" s="19">
        <v>1</v>
      </c>
      <c r="AB453" s="19">
        <v>1</v>
      </c>
      <c r="AC453" s="19" t="s">
        <v>60</v>
      </c>
      <c r="AD453" s="19" t="s">
        <v>72</v>
      </c>
      <c r="AE453" s="19" t="s">
        <v>2171</v>
      </c>
      <c r="AF453" s="19"/>
    </row>
    <row r="454" spans="1:34">
      <c r="A454" s="19">
        <v>445</v>
      </c>
      <c r="B454" s="19" t="s">
        <v>1848</v>
      </c>
      <c r="C454" s="19" t="s">
        <v>2078</v>
      </c>
      <c r="D454" s="19" t="str">
        <f>HYPERLINK("http://www.henontech.com/fieldsafety/harzard/harzard_show.php?rid=11389&amp;url=harzardrecs.php","制氮机房顶部下雨漏水，导致设备进水，电器线路进水短路，设备停机，制氮机无法开启，影响生产，制氮无法正常输送1000方，经济损失两万")</f>
        <v>制氮机房顶部下雨漏水，导致设备进水，电器线路进水短路，设备停机，制氮机无法开启，影响生产，制氮无法正常输送1000方，经济损失两万</v>
      </c>
      <c r="E454" s="19" t="s">
        <v>2172</v>
      </c>
      <c r="F454" s="20" t="s">
        <v>42</v>
      </c>
      <c r="G454" s="21" t="s">
        <v>43</v>
      </c>
      <c r="H454" s="19" t="s">
        <v>44</v>
      </c>
      <c r="I454" s="19" t="s">
        <v>45</v>
      </c>
      <c r="J454" s="19" t="s">
        <v>68</v>
      </c>
      <c r="K454" s="19" t="s">
        <v>145</v>
      </c>
      <c r="L454" s="19" t="s">
        <v>48</v>
      </c>
      <c r="M454" s="19" t="s">
        <v>70</v>
      </c>
      <c r="N454" s="19" t="s">
        <v>652</v>
      </c>
      <c r="O454" s="19" t="s">
        <v>70</v>
      </c>
      <c r="P454" s="19" t="s">
        <v>72</v>
      </c>
      <c r="Q454" s="19" t="s">
        <v>1322</v>
      </c>
      <c r="R454" s="19" t="s">
        <v>2173</v>
      </c>
      <c r="S454" s="19"/>
      <c r="T454" s="19" t="s">
        <v>100</v>
      </c>
      <c r="U454" s="19" t="s">
        <v>192</v>
      </c>
      <c r="V454" s="19" t="s">
        <v>56</v>
      </c>
      <c r="W454" s="19" t="s">
        <v>77</v>
      </c>
      <c r="X454" s="19"/>
      <c r="Y454" s="19"/>
      <c r="Z454" s="19" t="s">
        <v>2174</v>
      </c>
      <c r="AA454" s="19">
        <v>1</v>
      </c>
      <c r="AB454" s="19">
        <v>1</v>
      </c>
      <c r="AC454" s="19" t="s">
        <v>60</v>
      </c>
      <c r="AD454" s="19" t="s">
        <v>72</v>
      </c>
      <c r="AE454" s="19" t="s">
        <v>1080</v>
      </c>
      <c r="AF454" s="19"/>
    </row>
    <row r="455" spans="1:34">
      <c r="A455" s="19">
        <v>446</v>
      </c>
      <c r="B455" s="19" t="s">
        <v>1116</v>
      </c>
      <c r="C455" s="19" t="s">
        <v>2002</v>
      </c>
      <c r="D455" s="19" t="str">
        <f>HYPERLINK("http://www.henontech.com/fieldsafety/harzard/harzard_show.php?rid=11403&amp;url=harzardrecs.php","北供水配电室电缆沟盖板缺失，如果电仪操作人员到此处巡查未发现电缆沟盖板缺失，一名操作人员掉入电缆沟内造成腿部轻微擦伤，简单处理后正常上班，")</f>
        <v>北供水配电室电缆沟盖板缺失，如果电仪操作人员到此处巡查未发现电缆沟盖板缺失，一名操作人员掉入电缆沟内造成腿部轻微擦伤，简单处理后正常上班，</v>
      </c>
      <c r="E455" s="19" t="s">
        <v>2175</v>
      </c>
      <c r="F455" s="20" t="s">
        <v>42</v>
      </c>
      <c r="G455" s="21" t="s">
        <v>43</v>
      </c>
      <c r="H455" s="19" t="s">
        <v>44</v>
      </c>
      <c r="I455" s="19" t="s">
        <v>45</v>
      </c>
      <c r="J455" s="19" t="s">
        <v>46</v>
      </c>
      <c r="K455" s="19" t="s">
        <v>145</v>
      </c>
      <c r="L455" s="19"/>
      <c r="M455" s="19" t="s">
        <v>70</v>
      </c>
      <c r="N455" s="19" t="s">
        <v>1143</v>
      </c>
      <c r="O455" s="19" t="s">
        <v>70</v>
      </c>
      <c r="P455" s="19" t="s">
        <v>72</v>
      </c>
      <c r="Q455" s="19" t="s">
        <v>1322</v>
      </c>
      <c r="R455" s="19" t="s">
        <v>2176</v>
      </c>
      <c r="S455" s="19"/>
      <c r="T455" s="19" t="s">
        <v>54</v>
      </c>
      <c r="U455" s="19" t="s">
        <v>75</v>
      </c>
      <c r="V455" s="19" t="s">
        <v>101</v>
      </c>
      <c r="W455" s="19" t="s">
        <v>77</v>
      </c>
      <c r="X455" s="19"/>
      <c r="Y455" s="19"/>
      <c r="Z455" s="19" t="s">
        <v>1146</v>
      </c>
      <c r="AA455" s="19">
        <v>1</v>
      </c>
      <c r="AB455" s="19">
        <v>1</v>
      </c>
      <c r="AC455" s="19" t="s">
        <v>60</v>
      </c>
      <c r="AD455" s="19" t="s">
        <v>72</v>
      </c>
      <c r="AE455" s="19" t="s">
        <v>2177</v>
      </c>
      <c r="AF455" s="19"/>
    </row>
    <row r="456" spans="1:34" customHeight="1" ht="42">
      <c r="A456" s="19">
        <v>447</v>
      </c>
      <c r="B456" s="19" t="s">
        <v>1116</v>
      </c>
      <c r="C456" s="19" t="s">
        <v>2107</v>
      </c>
      <c r="D456" s="19" t="str">
        <f>HYPERLINK("http://www.henontech.com/fieldsafety/harzard/harzard_show.php?rid=11408&amp;url=harzardrecs.php","中班一名操作工天黑送照明灯时，手碰触到照明配电箱裸露的接线处，因触电倒地及时脱离，除感觉浑身乏力外，未造成大的伤害。")</f>
        <v>中班一名操作工天黑送照明灯时，手碰触到照明配电箱裸露的接线处，因触电倒地及时脱离，除感觉浑身乏力外，未造成大的伤害。</v>
      </c>
      <c r="E456" s="19" t="s">
        <v>2178</v>
      </c>
      <c r="F456" s="25" t="s">
        <v>1853</v>
      </c>
      <c r="G456" s="21" t="s">
        <v>43</v>
      </c>
      <c r="H456" s="19" t="s">
        <v>44</v>
      </c>
      <c r="I456" s="19" t="s">
        <v>45</v>
      </c>
      <c r="J456" s="19" t="s">
        <v>68</v>
      </c>
      <c r="K456" s="19" t="s">
        <v>145</v>
      </c>
      <c r="L456" s="19"/>
      <c r="M456" s="19" t="s">
        <v>84</v>
      </c>
      <c r="N456" s="19" t="s">
        <v>808</v>
      </c>
      <c r="O456" s="19" t="s">
        <v>84</v>
      </c>
      <c r="P456" s="19" t="s">
        <v>809</v>
      </c>
      <c r="Q456" s="19" t="s">
        <v>2179</v>
      </c>
      <c r="R456" s="19" t="s">
        <v>2180</v>
      </c>
      <c r="S456" s="19"/>
      <c r="T456" s="19" t="s">
        <v>54</v>
      </c>
      <c r="U456" s="19" t="s">
        <v>75</v>
      </c>
      <c r="V456" s="19" t="s">
        <v>101</v>
      </c>
      <c r="W456" s="19" t="s">
        <v>77</v>
      </c>
      <c r="X456" s="19" t="s">
        <v>58</v>
      </c>
      <c r="Y456" s="19"/>
      <c r="Z456" s="19" t="s">
        <v>2181</v>
      </c>
      <c r="AA456" s="19">
        <v>2</v>
      </c>
      <c r="AB456" s="19"/>
      <c r="AC456" s="19" t="s">
        <v>392</v>
      </c>
      <c r="AD456" s="19"/>
      <c r="AE456" s="19"/>
      <c r="AF456" s="19"/>
    </row>
    <row r="457" spans="1:34">
      <c r="A457" s="19">
        <v>448</v>
      </c>
      <c r="B457" s="19" t="s">
        <v>1116</v>
      </c>
      <c r="C457" s="19" t="s">
        <v>1387</v>
      </c>
      <c r="D457" s="19" t="str">
        <f>HYPERLINK("http://www.henontech.com/fieldsafety/harzard/harzard_show.php?rid=11468&amp;url=harzardrecs.php","1#满流槽焊缝处因长时间使用被母液腐蚀严重并泄露母液，如果一名巡检人员经过此处时，被喷溅出来的母液溅到左眼中，用大量清水冲洗后送医检查左眼角膜坏死，治疗三个月后康复损工三个月")</f>
        <v>1#满流槽焊缝处因长时间使用被母液腐蚀严重并泄露母液，如果一名巡检人员经过此处时，被喷溅出来的母液溅到左眼中，用大量清水冲洗后送医检查左眼角膜坏死，治疗三个月后康复损工三个月</v>
      </c>
      <c r="E457" s="19" t="s">
        <v>2182</v>
      </c>
      <c r="F457" s="20" t="s">
        <v>42</v>
      </c>
      <c r="G457" s="21" t="s">
        <v>43</v>
      </c>
      <c r="H457" s="19" t="s">
        <v>44</v>
      </c>
      <c r="I457" s="19" t="s">
        <v>45</v>
      </c>
      <c r="J457" s="19" t="s">
        <v>46</v>
      </c>
      <c r="K457" s="19" t="s">
        <v>69</v>
      </c>
      <c r="L457" s="19" t="s">
        <v>48</v>
      </c>
      <c r="M457" s="19" t="s">
        <v>70</v>
      </c>
      <c r="N457" s="19" t="s">
        <v>468</v>
      </c>
      <c r="O457" s="19" t="s">
        <v>70</v>
      </c>
      <c r="P457" s="19" t="s">
        <v>72</v>
      </c>
      <c r="Q457" s="19" t="s">
        <v>1322</v>
      </c>
      <c r="R457" s="19" t="s">
        <v>721</v>
      </c>
      <c r="S457" s="19"/>
      <c r="T457" s="19" t="s">
        <v>54</v>
      </c>
      <c r="U457" s="19" t="s">
        <v>55</v>
      </c>
      <c r="V457" s="19" t="s">
        <v>56</v>
      </c>
      <c r="W457" s="19" t="s">
        <v>57</v>
      </c>
      <c r="X457" s="19"/>
      <c r="Y457" s="19"/>
      <c r="Z457" s="19" t="s">
        <v>1748</v>
      </c>
      <c r="AA457" s="19">
        <v>1</v>
      </c>
      <c r="AB457" s="19">
        <v>1</v>
      </c>
      <c r="AC457" s="19" t="s">
        <v>60</v>
      </c>
      <c r="AD457" s="19" t="s">
        <v>72</v>
      </c>
      <c r="AE457" s="19" t="s">
        <v>1953</v>
      </c>
      <c r="AF457" s="19"/>
    </row>
    <row r="458" spans="1:34">
      <c r="A458" s="19">
        <v>449</v>
      </c>
      <c r="B458" s="19" t="s">
        <v>1116</v>
      </c>
      <c r="C458" s="19" t="s">
        <v>1925</v>
      </c>
      <c r="D458" s="19" t="str">
        <f>HYPERLINK("http://www.henontech.com/fieldsafety/harzard/harzard_show.php?rid=11471&amp;url=harzardrecs.php","机头刮煤板刮皮磨损变薄，在开车期间刮皮下翻，机头积煤过多，停车检修一小时后恢复正常生产")</f>
        <v>机头刮煤板刮皮磨损变薄，在开车期间刮皮下翻，机头积煤过多，停车检修一小时后恢复正常生产</v>
      </c>
      <c r="E458" s="19" t="s">
        <v>2183</v>
      </c>
      <c r="F458" s="20" t="s">
        <v>42</v>
      </c>
      <c r="G458" s="21" t="s">
        <v>43</v>
      </c>
      <c r="H458" s="19" t="s">
        <v>44</v>
      </c>
      <c r="I458" s="19" t="s">
        <v>67</v>
      </c>
      <c r="J458" s="19" t="s">
        <v>46</v>
      </c>
      <c r="K458" s="19" t="s">
        <v>47</v>
      </c>
      <c r="L458" s="19" t="s">
        <v>48</v>
      </c>
      <c r="M458" s="19" t="s">
        <v>285</v>
      </c>
      <c r="N458" s="19" t="s">
        <v>2184</v>
      </c>
      <c r="O458" s="19" t="s">
        <v>285</v>
      </c>
      <c r="P458" s="19" t="s">
        <v>410</v>
      </c>
      <c r="Q458" s="19" t="s">
        <v>2185</v>
      </c>
      <c r="R458" s="19" t="s">
        <v>2186</v>
      </c>
      <c r="S458" s="19"/>
      <c r="T458" s="19" t="s">
        <v>100</v>
      </c>
      <c r="U458" s="19" t="s">
        <v>192</v>
      </c>
      <c r="V458" s="19" t="s">
        <v>271</v>
      </c>
      <c r="W458" s="19" t="s">
        <v>77</v>
      </c>
      <c r="X458" s="19"/>
      <c r="Y458" s="19"/>
      <c r="Z458" s="19" t="s">
        <v>2187</v>
      </c>
      <c r="AA458" s="19">
        <v>1</v>
      </c>
      <c r="AB458" s="19">
        <v>1</v>
      </c>
      <c r="AC458" s="19" t="s">
        <v>60</v>
      </c>
      <c r="AD458" s="19" t="s">
        <v>410</v>
      </c>
      <c r="AE458" s="19" t="s">
        <v>1859</v>
      </c>
      <c r="AF458" s="19"/>
    </row>
    <row r="459" spans="1:34" customHeight="1" ht="42">
      <c r="A459" s="19">
        <v>450</v>
      </c>
      <c r="B459" s="19" t="s">
        <v>1534</v>
      </c>
      <c r="C459" s="19" t="s">
        <v>2188</v>
      </c>
      <c r="D459" s="19" t="str">
        <f>HYPERLINK("http://www.henontech.com/fieldsafety/harzard/harzard_show.php?rid=11581&amp;url=harzardrecs.php","照明箱内接线排未用绝缘板防护")</f>
        <v>照明箱内接线排未用绝缘板防护</v>
      </c>
      <c r="E459" s="19" t="s">
        <v>2189</v>
      </c>
      <c r="F459" s="25" t="s">
        <v>1853</v>
      </c>
      <c r="G459" s="21" t="s">
        <v>43</v>
      </c>
      <c r="H459" s="19" t="s">
        <v>44</v>
      </c>
      <c r="I459" s="19" t="s">
        <v>67</v>
      </c>
      <c r="J459" s="19" t="s">
        <v>46</v>
      </c>
      <c r="K459" s="19" t="s">
        <v>69</v>
      </c>
      <c r="L459" s="19" t="s">
        <v>48</v>
      </c>
      <c r="M459" s="19" t="s">
        <v>84</v>
      </c>
      <c r="N459" s="19" t="s">
        <v>2190</v>
      </c>
      <c r="O459" s="19" t="s">
        <v>84</v>
      </c>
      <c r="P459" s="19" t="s">
        <v>809</v>
      </c>
      <c r="Q459" s="19" t="s">
        <v>2179</v>
      </c>
      <c r="R459" s="19" t="s">
        <v>2191</v>
      </c>
      <c r="S459" s="19"/>
      <c r="T459" s="19" t="s">
        <v>54</v>
      </c>
      <c r="U459" s="19" t="s">
        <v>192</v>
      </c>
      <c r="V459" s="19" t="s">
        <v>101</v>
      </c>
      <c r="W459" s="19" t="s">
        <v>77</v>
      </c>
      <c r="X459" s="19" t="s">
        <v>58</v>
      </c>
      <c r="Y459" s="19"/>
      <c r="Z459" s="19" t="s">
        <v>2192</v>
      </c>
      <c r="AA459" s="19">
        <v>2</v>
      </c>
      <c r="AB459" s="19"/>
      <c r="AC459" s="19" t="s">
        <v>392</v>
      </c>
      <c r="AD459" s="19"/>
      <c r="AE459" s="19"/>
      <c r="AF459" s="19"/>
    </row>
    <row r="460" spans="1:34">
      <c r="A460" s="19">
        <v>451</v>
      </c>
      <c r="B460" s="19" t="s">
        <v>1534</v>
      </c>
      <c r="C460" s="19" t="s">
        <v>2193</v>
      </c>
      <c r="D460" s="19" t="str">
        <f>HYPERLINK("http://www.henontech.com/fieldsafety/harzard/harzard_show.php?rid=11584&amp;url=harzardrecs.php","操作工巡检时经过除盐水池东头，有一爬梯支撑架将左手臂划伤。")</f>
        <v>操作工巡检时经过除盐水池东头，有一爬梯支撑架将左手臂划伤。</v>
      </c>
      <c r="E460" s="19" t="s">
        <v>2194</v>
      </c>
      <c r="F460" s="24" t="s">
        <v>387</v>
      </c>
      <c r="G460" s="21" t="s">
        <v>43</v>
      </c>
      <c r="H460" s="19" t="s">
        <v>44</v>
      </c>
      <c r="I460" s="19" t="s">
        <v>45</v>
      </c>
      <c r="J460" s="19" t="s">
        <v>46</v>
      </c>
      <c r="K460" s="19" t="s">
        <v>69</v>
      </c>
      <c r="L460" s="19" t="s">
        <v>48</v>
      </c>
      <c r="M460" s="19" t="s">
        <v>84</v>
      </c>
      <c r="N460" s="19" t="s">
        <v>136</v>
      </c>
      <c r="O460" s="19"/>
      <c r="P460" s="19"/>
      <c r="Q460" s="19"/>
      <c r="R460" s="19" t="s">
        <v>2195</v>
      </c>
      <c r="S460" s="19" t="s">
        <v>2095</v>
      </c>
      <c r="T460" s="19" t="s">
        <v>54</v>
      </c>
      <c r="U460" s="19" t="s">
        <v>192</v>
      </c>
      <c r="V460" s="19" t="s">
        <v>76</v>
      </c>
      <c r="W460" s="19" t="s">
        <v>77</v>
      </c>
      <c r="X460" s="19"/>
      <c r="Y460" s="19"/>
      <c r="Z460" s="19"/>
      <c r="AA460" s="19">
        <v>0</v>
      </c>
      <c r="AB460" s="19"/>
      <c r="AC460" s="19" t="s">
        <v>392</v>
      </c>
      <c r="AD460" s="19"/>
      <c r="AE460" s="19"/>
      <c r="AF460" s="19"/>
    </row>
    <row r="461" spans="1:34">
      <c r="A461" s="19">
        <v>452</v>
      </c>
      <c r="B461" s="19" t="s">
        <v>1707</v>
      </c>
      <c r="C461" s="19" t="s">
        <v>549</v>
      </c>
      <c r="D461" s="19" t="str">
        <f>HYPERLINK("http://www.henontech.com/fieldsafety/harzard/harzard_show.php?rid=11594&amp;url=harzardrecs.php","一名操作人员巡检经过初冷器南部时被翘起的接地线拌倒，致使胳膊肘与腿部擦伤，去医务室简单包扎后返工。")</f>
        <v>一名操作人员巡检经过初冷器南部时被翘起的接地线拌倒，致使胳膊肘与腿部擦伤，去医务室简单包扎后返工。</v>
      </c>
      <c r="E461" s="19" t="s">
        <v>2196</v>
      </c>
      <c r="F461" s="20" t="s">
        <v>42</v>
      </c>
      <c r="G461" s="21" t="s">
        <v>43</v>
      </c>
      <c r="H461" s="19" t="s">
        <v>44</v>
      </c>
      <c r="I461" s="19" t="s">
        <v>45</v>
      </c>
      <c r="J461" s="19" t="s">
        <v>46</v>
      </c>
      <c r="K461" s="19" t="s">
        <v>69</v>
      </c>
      <c r="L461" s="19" t="s">
        <v>48</v>
      </c>
      <c r="M461" s="19" t="s">
        <v>70</v>
      </c>
      <c r="N461" s="19" t="s">
        <v>2197</v>
      </c>
      <c r="O461" s="19" t="s">
        <v>70</v>
      </c>
      <c r="P461" s="19" t="s">
        <v>72</v>
      </c>
      <c r="Q461" s="19" t="s">
        <v>1322</v>
      </c>
      <c r="R461" s="19" t="s">
        <v>2198</v>
      </c>
      <c r="S461" s="19"/>
      <c r="T461" s="19" t="s">
        <v>54</v>
      </c>
      <c r="U461" s="19" t="s">
        <v>75</v>
      </c>
      <c r="V461" s="19" t="s">
        <v>56</v>
      </c>
      <c r="W461" s="19" t="s">
        <v>138</v>
      </c>
      <c r="X461" s="19"/>
      <c r="Y461" s="19"/>
      <c r="Z461" s="19" t="s">
        <v>2199</v>
      </c>
      <c r="AA461" s="19">
        <v>1</v>
      </c>
      <c r="AB461" s="19">
        <v>1</v>
      </c>
      <c r="AC461" s="19" t="s">
        <v>60</v>
      </c>
      <c r="AD461" s="19" t="s">
        <v>72</v>
      </c>
      <c r="AE461" s="19" t="s">
        <v>1953</v>
      </c>
      <c r="AF461" s="19"/>
    </row>
    <row r="462" spans="1:34">
      <c r="A462" s="19">
        <v>453</v>
      </c>
      <c r="B462" s="19" t="s">
        <v>1707</v>
      </c>
      <c r="C462" s="19" t="s">
        <v>2200</v>
      </c>
      <c r="D462" s="19" t="str">
        <f>HYPERLINK("http://www.henontech.com/fieldsafety/harzard/harzard_show.php?rid=11720&amp;url=harzardrecs.php","因水池无防护，职工在巡检时不慎掉入水池，导致小腿受轻伤，到医务室简单冶疗后继续上班。")</f>
        <v>因水池无防护，职工在巡检时不慎掉入水池，导致小腿受轻伤，到医务室简单冶疗后继续上班。</v>
      </c>
      <c r="E462" s="19" t="s">
        <v>2201</v>
      </c>
      <c r="F462" s="24" t="s">
        <v>387</v>
      </c>
      <c r="G462" s="21" t="s">
        <v>43</v>
      </c>
      <c r="H462" s="19" t="s">
        <v>44</v>
      </c>
      <c r="I462" s="19" t="s">
        <v>67</v>
      </c>
      <c r="J462" s="19" t="s">
        <v>46</v>
      </c>
      <c r="K462" s="19" t="s">
        <v>209</v>
      </c>
      <c r="L462" s="19"/>
      <c r="M462" s="19" t="s">
        <v>84</v>
      </c>
      <c r="N462" s="19" t="s">
        <v>2202</v>
      </c>
      <c r="O462" s="19"/>
      <c r="P462" s="19"/>
      <c r="Q462" s="19"/>
      <c r="R462" s="19" t="s">
        <v>2203</v>
      </c>
      <c r="S462" s="19" t="s">
        <v>2118</v>
      </c>
      <c r="T462" s="19" t="s">
        <v>54</v>
      </c>
      <c r="U462" s="19" t="s">
        <v>75</v>
      </c>
      <c r="V462" s="19" t="s">
        <v>56</v>
      </c>
      <c r="W462" s="19" t="s">
        <v>138</v>
      </c>
      <c r="X462" s="19"/>
      <c r="Y462" s="19"/>
      <c r="Z462" s="19"/>
      <c r="AA462" s="19">
        <v>0</v>
      </c>
      <c r="AB462" s="19"/>
      <c r="AC462" s="19" t="s">
        <v>392</v>
      </c>
      <c r="AD462" s="19"/>
      <c r="AE462" s="19"/>
      <c r="AF462" s="19"/>
    </row>
    <row r="463" spans="1:34">
      <c r="A463" s="19">
        <v>454</v>
      </c>
      <c r="B463" s="19" t="s">
        <v>1707</v>
      </c>
      <c r="C463" s="19" t="s">
        <v>2204</v>
      </c>
      <c r="D463" s="19" t="str">
        <f>HYPERLINK("http://www.henontech.com/fieldsafety/harzard/harzard_show.php?rid=11733&amp;url=harzardrecs.php","硫铵离心机摞栓大面积脱落")</f>
        <v>硫铵离心机摞栓大面积脱落</v>
      </c>
      <c r="E463" s="19" t="s">
        <v>2205</v>
      </c>
      <c r="F463" s="24" t="s">
        <v>387</v>
      </c>
      <c r="G463" s="21" t="s">
        <v>43</v>
      </c>
      <c r="H463" s="19" t="s">
        <v>974</v>
      </c>
      <c r="I463" s="19"/>
      <c r="J463" s="19" t="s">
        <v>46</v>
      </c>
      <c r="K463" s="19" t="s">
        <v>145</v>
      </c>
      <c r="L463" s="19"/>
      <c r="M463" s="19" t="s">
        <v>84</v>
      </c>
      <c r="N463" s="19" t="s">
        <v>2206</v>
      </c>
      <c r="O463" s="19"/>
      <c r="P463" s="19"/>
      <c r="Q463" s="19"/>
      <c r="R463" s="19" t="s">
        <v>2207</v>
      </c>
      <c r="S463" s="19" t="s">
        <v>2118</v>
      </c>
      <c r="T463" s="19" t="s">
        <v>100</v>
      </c>
      <c r="U463" s="19" t="s">
        <v>192</v>
      </c>
      <c r="V463" s="19" t="s">
        <v>76</v>
      </c>
      <c r="W463" s="19" t="s">
        <v>77</v>
      </c>
      <c r="X463" s="19"/>
      <c r="Y463" s="19"/>
      <c r="Z463" s="19"/>
      <c r="AA463" s="19">
        <v>0</v>
      </c>
      <c r="AB463" s="19"/>
      <c r="AC463" s="19" t="s">
        <v>392</v>
      </c>
      <c r="AD463" s="19"/>
      <c r="AE463" s="19"/>
      <c r="AF463" s="19"/>
    </row>
    <row r="464" spans="1:34">
      <c r="A464" s="19">
        <v>455</v>
      </c>
      <c r="B464" s="19" t="s">
        <v>1707</v>
      </c>
      <c r="C464" s="19" t="s">
        <v>706</v>
      </c>
      <c r="D464" s="19" t="str">
        <f>HYPERLINK("http://www.henontech.com/fieldsafety/harzard/harzard_show.php?rid=11749&amp;url=harzardrecs.php","粗苯岗位泵房内富油泵电机电线老化发热，导致富油泵跳闸，一旦富油泵无法启动，将造成粗苯装置停产2小时，对本班产量造成严重影响，财产损失2万元。")</f>
        <v>粗苯岗位泵房内富油泵电机电线老化发热，导致富油泵跳闸，一旦富油泵无法启动，将造成粗苯装置停产2小时，对本班产量造成严重影响，财产损失2万元。</v>
      </c>
      <c r="E464" s="19" t="s">
        <v>2208</v>
      </c>
      <c r="F464" s="20" t="s">
        <v>42</v>
      </c>
      <c r="G464" s="21" t="s">
        <v>43</v>
      </c>
      <c r="H464" s="19" t="s">
        <v>44</v>
      </c>
      <c r="I464" s="19" t="s">
        <v>67</v>
      </c>
      <c r="J464" s="19" t="s">
        <v>46</v>
      </c>
      <c r="K464" s="19"/>
      <c r="L464" s="19" t="s">
        <v>48</v>
      </c>
      <c r="M464" s="19" t="s">
        <v>70</v>
      </c>
      <c r="N464" s="19" t="s">
        <v>1825</v>
      </c>
      <c r="O464" s="19" t="s">
        <v>70</v>
      </c>
      <c r="P464" s="19" t="s">
        <v>72</v>
      </c>
      <c r="Q464" s="19" t="s">
        <v>1322</v>
      </c>
      <c r="R464" s="19" t="s">
        <v>2209</v>
      </c>
      <c r="S464" s="19"/>
      <c r="T464" s="19" t="s">
        <v>100</v>
      </c>
      <c r="U464" s="19" t="s">
        <v>75</v>
      </c>
      <c r="V464" s="19" t="s">
        <v>56</v>
      </c>
      <c r="W464" s="19" t="s">
        <v>138</v>
      </c>
      <c r="X464" s="19"/>
      <c r="Y464" s="19"/>
      <c r="Z464" s="19" t="s">
        <v>2210</v>
      </c>
      <c r="AA464" s="19">
        <v>1</v>
      </c>
      <c r="AB464" s="19">
        <v>1</v>
      </c>
      <c r="AC464" s="19" t="s">
        <v>60</v>
      </c>
      <c r="AD464" s="19" t="s">
        <v>72</v>
      </c>
      <c r="AE464" s="19" t="s">
        <v>1953</v>
      </c>
      <c r="AF464" s="19"/>
    </row>
    <row r="465" spans="1:34">
      <c r="A465" s="19">
        <v>456</v>
      </c>
      <c r="B465" s="19" t="s">
        <v>1707</v>
      </c>
      <c r="C465" s="19" t="s">
        <v>485</v>
      </c>
      <c r="D465" s="19" t="str">
        <f>HYPERLINK("http://www.henontech.com/fieldsafety/harzard/harzard_show.php?rid=11767&amp;url=harzardrecs.php","5.5米导烟车导电轮长期使用造成导电轮中间磨断，导烟车配电室配电盘线路烧毁，两行走电机线圈烧毁。")</f>
        <v>5.5米导烟车导电轮长期使用造成导电轮中间磨断，导烟车配电室配电盘线路烧毁，两行走电机线圈烧毁。</v>
      </c>
      <c r="E465" s="19" t="s">
        <v>2211</v>
      </c>
      <c r="F465" s="24" t="s">
        <v>387</v>
      </c>
      <c r="G465" s="21" t="s">
        <v>43</v>
      </c>
      <c r="H465" s="19" t="s">
        <v>974</v>
      </c>
      <c r="I465" s="19" t="s">
        <v>67</v>
      </c>
      <c r="J465" s="19" t="s">
        <v>46</v>
      </c>
      <c r="K465" s="19" t="s">
        <v>47</v>
      </c>
      <c r="L465" s="19" t="s">
        <v>48</v>
      </c>
      <c r="M465" s="19" t="s">
        <v>117</v>
      </c>
      <c r="N465" s="19" t="s">
        <v>1453</v>
      </c>
      <c r="O465" s="19"/>
      <c r="P465" s="19"/>
      <c r="Q465" s="19"/>
      <c r="R465" s="19" t="s">
        <v>1622</v>
      </c>
      <c r="S465" s="19" t="s">
        <v>2212</v>
      </c>
      <c r="T465" s="19" t="s">
        <v>100</v>
      </c>
      <c r="U465" s="19" t="s">
        <v>55</v>
      </c>
      <c r="V465" s="19" t="s">
        <v>56</v>
      </c>
      <c r="W465" s="19" t="s">
        <v>57</v>
      </c>
      <c r="X465" s="19"/>
      <c r="Y465" s="19"/>
      <c r="Z465" s="19"/>
      <c r="AA465" s="19">
        <v>0</v>
      </c>
      <c r="AB465" s="19"/>
      <c r="AC465" s="19" t="s">
        <v>392</v>
      </c>
      <c r="AD465" s="19"/>
      <c r="AE465" s="19"/>
      <c r="AF465" s="19"/>
    </row>
    <row r="466" spans="1:34">
      <c r="A466" s="19">
        <v>457</v>
      </c>
      <c r="B466" s="19" t="s">
        <v>1707</v>
      </c>
      <c r="C466" s="19" t="s">
        <v>380</v>
      </c>
      <c r="D466" s="19" t="str">
        <f>HYPERLINK("http://www.henontech.com/fieldsafety/harzard/harzard_show.php?rid=11770&amp;url=harzardrecs.php","煤四彩钢包边腐烂悬挂，一旦人员从下方经过时包边脱落易造成人员伤害！")</f>
        <v>煤四彩钢包边腐烂悬挂，一旦人员从下方经过时包边脱落易造成人员伤害！</v>
      </c>
      <c r="E466" s="19" t="s">
        <v>54</v>
      </c>
      <c r="F466" s="20" t="s">
        <v>42</v>
      </c>
      <c r="G466" s="22" t="s">
        <v>66</v>
      </c>
      <c r="H466" s="19" t="s">
        <v>44</v>
      </c>
      <c r="I466" s="19" t="s">
        <v>67</v>
      </c>
      <c r="J466" s="19" t="s">
        <v>46</v>
      </c>
      <c r="K466" s="19" t="s">
        <v>69</v>
      </c>
      <c r="L466" s="19" t="s">
        <v>48</v>
      </c>
      <c r="M466" s="19" t="s">
        <v>285</v>
      </c>
      <c r="N466" s="19" t="s">
        <v>410</v>
      </c>
      <c r="O466" s="19" t="s">
        <v>285</v>
      </c>
      <c r="P466" s="19" t="s">
        <v>410</v>
      </c>
      <c r="Q466" s="19" t="s">
        <v>2185</v>
      </c>
      <c r="R466" s="19" t="s">
        <v>2213</v>
      </c>
      <c r="S466" s="19"/>
      <c r="T466" s="19" t="s">
        <v>54</v>
      </c>
      <c r="U466" s="19" t="s">
        <v>75</v>
      </c>
      <c r="V466" s="19" t="s">
        <v>101</v>
      </c>
      <c r="W466" s="19" t="s">
        <v>77</v>
      </c>
      <c r="X466" s="19"/>
      <c r="Y466" s="19"/>
      <c r="Z466" s="19" t="s">
        <v>2214</v>
      </c>
      <c r="AA466" s="19">
        <v>1</v>
      </c>
      <c r="AB466" s="19">
        <v>1</v>
      </c>
      <c r="AC466" s="19" t="s">
        <v>60</v>
      </c>
      <c r="AD466" s="19" t="s">
        <v>410</v>
      </c>
      <c r="AE466" s="19" t="s">
        <v>1859</v>
      </c>
      <c r="AF466" s="19"/>
    </row>
    <row r="467" spans="1:34">
      <c r="A467" s="19">
        <v>458</v>
      </c>
      <c r="B467" s="19" t="s">
        <v>1953</v>
      </c>
      <c r="C467" s="19" t="s">
        <v>2215</v>
      </c>
      <c r="D467" s="19" t="str">
        <f>HYPERLINK("http://www.henontech.com/fieldsafety/harzard/harzard_show.php?rid=11775&amp;url=harzardrecs.php","35t除尘器气槽锈蚀严重，巡检人员巡检时不慎被倾倒砸中")</f>
        <v>35t除尘器气槽锈蚀严重，巡检人员巡检时不慎被倾倒砸中</v>
      </c>
      <c r="E467" s="19" t="s">
        <v>2216</v>
      </c>
      <c r="F467" s="24" t="s">
        <v>387</v>
      </c>
      <c r="G467" s="21" t="s">
        <v>43</v>
      </c>
      <c r="H467" s="19" t="s">
        <v>974</v>
      </c>
      <c r="I467" s="19" t="s">
        <v>67</v>
      </c>
      <c r="J467" s="19" t="s">
        <v>46</v>
      </c>
      <c r="K467" s="19" t="s">
        <v>209</v>
      </c>
      <c r="L467" s="19" t="s">
        <v>48</v>
      </c>
      <c r="M467" s="19" t="s">
        <v>84</v>
      </c>
      <c r="N467" s="19" t="s">
        <v>814</v>
      </c>
      <c r="O467" s="19"/>
      <c r="P467" s="19"/>
      <c r="Q467" s="19"/>
      <c r="R467" s="19" t="s">
        <v>2217</v>
      </c>
      <c r="S467" s="19" t="s">
        <v>2218</v>
      </c>
      <c r="T467" s="19" t="s">
        <v>54</v>
      </c>
      <c r="U467" s="19" t="s">
        <v>55</v>
      </c>
      <c r="V467" s="19" t="s">
        <v>101</v>
      </c>
      <c r="W467" s="19" t="s">
        <v>138</v>
      </c>
      <c r="X467" s="19"/>
      <c r="Y467" s="19"/>
      <c r="Z467" s="19"/>
      <c r="AA467" s="19">
        <v>0</v>
      </c>
      <c r="AB467" s="19"/>
      <c r="AC467" s="19" t="s">
        <v>392</v>
      </c>
      <c r="AD467" s="19"/>
      <c r="AE467" s="19"/>
      <c r="AF467" s="19"/>
    </row>
    <row r="468" spans="1:34">
      <c r="A468" s="19">
        <v>459</v>
      </c>
      <c r="B468" s="19" t="s">
        <v>1953</v>
      </c>
      <c r="C468" s="19" t="s">
        <v>284</v>
      </c>
      <c r="D468" s="19" t="str">
        <f>HYPERLINK("http://www.henontech.com/fieldsafety/harzard/harzard_show.php?rid=11776&amp;url=harzardrecs.php","西五岗位胶带接头开裂，开车运行过程中，一旦出现接头断裂，导致非计划停车抢修，影响焦炉出焦，造成经济损失2000元。")</f>
        <v>西五岗位胶带接头开裂，开车运行过程中，一旦出现接头断裂，导致非计划停车抢修，影响焦炉出焦，造成经济损失2000元。</v>
      </c>
      <c r="E468" s="19" t="s">
        <v>2219</v>
      </c>
      <c r="F468" s="20" t="s">
        <v>42</v>
      </c>
      <c r="G468" s="21" t="s">
        <v>43</v>
      </c>
      <c r="H468" s="19" t="s">
        <v>44</v>
      </c>
      <c r="I468" s="19" t="s">
        <v>67</v>
      </c>
      <c r="J468" s="19" t="s">
        <v>46</v>
      </c>
      <c r="K468" s="19" t="s">
        <v>145</v>
      </c>
      <c r="L468" s="19" t="s">
        <v>48</v>
      </c>
      <c r="M468" s="19" t="s">
        <v>285</v>
      </c>
      <c r="N468" s="19" t="s">
        <v>2220</v>
      </c>
      <c r="O468" s="19" t="s">
        <v>285</v>
      </c>
      <c r="P468" s="19" t="s">
        <v>419</v>
      </c>
      <c r="Q468" s="19" t="s">
        <v>2221</v>
      </c>
      <c r="R468" s="19" t="s">
        <v>2222</v>
      </c>
      <c r="S468" s="19"/>
      <c r="T468" s="19" t="s">
        <v>100</v>
      </c>
      <c r="U468" s="19" t="s">
        <v>75</v>
      </c>
      <c r="V468" s="19" t="s">
        <v>56</v>
      </c>
      <c r="W468" s="19" t="s">
        <v>138</v>
      </c>
      <c r="X468" s="19"/>
      <c r="Y468" s="19"/>
      <c r="Z468" s="19" t="s">
        <v>2223</v>
      </c>
      <c r="AA468" s="19">
        <v>1</v>
      </c>
      <c r="AB468" s="19">
        <v>1</v>
      </c>
      <c r="AC468" s="19" t="s">
        <v>60</v>
      </c>
      <c r="AD468" s="19" t="s">
        <v>419</v>
      </c>
      <c r="AE468" s="19" t="s">
        <v>2221</v>
      </c>
      <c r="AF468" s="19"/>
    </row>
    <row r="469" spans="1:34">
      <c r="A469" s="19">
        <v>460</v>
      </c>
      <c r="B469" s="19" t="s">
        <v>1953</v>
      </c>
      <c r="C469" s="19" t="s">
        <v>2224</v>
      </c>
      <c r="D469" s="19" t="str">
        <f>HYPERLINK("http://www.henontech.com/fieldsafety/harzard/harzard_show.php?rid=11777&amp;url=harzardrecs.php","循环水泵因又加一层顶棚原有的照明灯已不起作用造成一名职工在夜间进入水泵池巡查水泵设备时头部磕伤送医治疗")</f>
        <v>循环水泵因又加一层顶棚原有的照明灯已不起作用造成一名职工在夜间进入水泵池巡查水泵设备时头部磕伤送医治疗</v>
      </c>
      <c r="E469" s="19" t="s">
        <v>2225</v>
      </c>
      <c r="F469" s="24" t="s">
        <v>387</v>
      </c>
      <c r="G469" s="21" t="s">
        <v>43</v>
      </c>
      <c r="H469" s="19" t="s">
        <v>974</v>
      </c>
      <c r="I469" s="19" t="s">
        <v>45</v>
      </c>
      <c r="J469" s="19" t="s">
        <v>46</v>
      </c>
      <c r="K469" s="19" t="s">
        <v>69</v>
      </c>
      <c r="L469" s="19" t="s">
        <v>48</v>
      </c>
      <c r="M469" s="19" t="s">
        <v>84</v>
      </c>
      <c r="N469" s="19" t="s">
        <v>2226</v>
      </c>
      <c r="O469" s="19"/>
      <c r="P469" s="19"/>
      <c r="Q469" s="19"/>
      <c r="R469" s="19" t="s">
        <v>2224</v>
      </c>
      <c r="S469" s="19" t="s">
        <v>2227</v>
      </c>
      <c r="T469" s="19" t="s">
        <v>54</v>
      </c>
      <c r="U469" s="19" t="s">
        <v>75</v>
      </c>
      <c r="V469" s="19" t="s">
        <v>271</v>
      </c>
      <c r="W469" s="19" t="s">
        <v>57</v>
      </c>
      <c r="X469" s="19"/>
      <c r="Y469" s="19"/>
      <c r="Z469" s="19"/>
      <c r="AA469" s="19">
        <v>0</v>
      </c>
      <c r="AB469" s="19"/>
      <c r="AC469" s="19" t="s">
        <v>392</v>
      </c>
      <c r="AD469" s="19"/>
      <c r="AE469" s="19"/>
      <c r="AF469" s="19"/>
    </row>
    <row r="470" spans="1:34">
      <c r="A470" s="19">
        <v>461</v>
      </c>
      <c r="B470" s="19" t="s">
        <v>1953</v>
      </c>
      <c r="C470" s="19" t="s">
        <v>2228</v>
      </c>
      <c r="D470" s="19" t="str">
        <f>HYPERLINK("http://www.henontech.com/fieldsafety/harzard/harzard_show.php?rid=11836&amp;url=harzardrecs.php","3号初冷器本体灯不亮，一旦操作工在冲冼初冷时不小心踩空从三层滑落到二层，造成左小腿骨折，住院冶疗一个月，休养2个月。")</f>
        <v>3号初冷器本体灯不亮，一旦操作工在冲冼初冷时不小心踩空从三层滑落到二层，造成左小腿骨折，住院冶疗一个月，休养2个月。</v>
      </c>
      <c r="E470" s="19" t="s">
        <v>2229</v>
      </c>
      <c r="F470" s="20" t="s">
        <v>42</v>
      </c>
      <c r="G470" s="21" t="s">
        <v>43</v>
      </c>
      <c r="H470" s="19" t="s">
        <v>44</v>
      </c>
      <c r="I470" s="19"/>
      <c r="J470" s="19"/>
      <c r="K470" s="19" t="s">
        <v>69</v>
      </c>
      <c r="L470" s="19"/>
      <c r="M470" s="19" t="s">
        <v>70</v>
      </c>
      <c r="N470" s="19" t="s">
        <v>2230</v>
      </c>
      <c r="O470" s="19" t="s">
        <v>70</v>
      </c>
      <c r="P470" s="19" t="s">
        <v>72</v>
      </c>
      <c r="Q470" s="19" t="s">
        <v>1322</v>
      </c>
      <c r="R470" s="19" t="s">
        <v>1932</v>
      </c>
      <c r="S470" s="19"/>
      <c r="T470" s="19" t="s">
        <v>54</v>
      </c>
      <c r="U470" s="19" t="s">
        <v>55</v>
      </c>
      <c r="V470" s="19" t="s">
        <v>56</v>
      </c>
      <c r="W470" s="19" t="s">
        <v>57</v>
      </c>
      <c r="X470" s="19"/>
      <c r="Y470" s="19"/>
      <c r="Z470" s="19" t="s">
        <v>2231</v>
      </c>
      <c r="AA470" s="19">
        <v>1</v>
      </c>
      <c r="AB470" s="19">
        <v>1</v>
      </c>
      <c r="AC470" s="19" t="s">
        <v>60</v>
      </c>
      <c r="AD470" s="19" t="s">
        <v>72</v>
      </c>
      <c r="AE470" s="19" t="s">
        <v>2171</v>
      </c>
      <c r="AF470" s="19"/>
    </row>
    <row r="471" spans="1:34">
      <c r="A471" s="19">
        <v>462</v>
      </c>
      <c r="B471" s="19" t="s">
        <v>1953</v>
      </c>
      <c r="C471" s="19" t="s">
        <v>2232</v>
      </c>
      <c r="D471" s="19" t="str">
        <f>HYPERLINK("http://www.henontech.com/fieldsafety/harzard/harzard_show.php?rid=11930&amp;url=harzardrecs.php","南风机1#风机机后下液管阀门垫子处泄露煤气，如果没有及时发现，可能导致一名巡检经过此处的操作人员煤气中毒，送医治疗7天后复工。")</f>
        <v>南风机1#风机机后下液管阀门垫子处泄露煤气，如果没有及时发现，可能导致一名巡检经过此处的操作人员煤气中毒，送医治疗7天后复工。</v>
      </c>
      <c r="E471" s="19" t="s">
        <v>2233</v>
      </c>
      <c r="F471" s="20" t="s">
        <v>42</v>
      </c>
      <c r="G471" s="21" t="s">
        <v>43</v>
      </c>
      <c r="H471" s="19" t="s">
        <v>44</v>
      </c>
      <c r="I471" s="19" t="s">
        <v>45</v>
      </c>
      <c r="J471" s="19" t="s">
        <v>1998</v>
      </c>
      <c r="K471" s="19" t="s">
        <v>145</v>
      </c>
      <c r="L471" s="19" t="s">
        <v>48</v>
      </c>
      <c r="M471" s="19" t="s">
        <v>70</v>
      </c>
      <c r="N471" s="19" t="s">
        <v>295</v>
      </c>
      <c r="O471" s="19" t="s">
        <v>70</v>
      </c>
      <c r="P471" s="19" t="s">
        <v>72</v>
      </c>
      <c r="Q471" s="19" t="s">
        <v>1322</v>
      </c>
      <c r="R471" s="19" t="s">
        <v>2234</v>
      </c>
      <c r="S471" s="19"/>
      <c r="T471" s="19" t="s">
        <v>54</v>
      </c>
      <c r="U471" s="19" t="s">
        <v>55</v>
      </c>
      <c r="V471" s="19" t="s">
        <v>56</v>
      </c>
      <c r="W471" s="19" t="s">
        <v>57</v>
      </c>
      <c r="X471" s="19"/>
      <c r="Y471" s="19"/>
      <c r="Z471" s="19" t="s">
        <v>2235</v>
      </c>
      <c r="AA471" s="19">
        <v>1</v>
      </c>
      <c r="AB471" s="19">
        <v>1</v>
      </c>
      <c r="AC471" s="19" t="s">
        <v>60</v>
      </c>
      <c r="AD471" s="19" t="s">
        <v>72</v>
      </c>
      <c r="AE471" s="19" t="s">
        <v>2171</v>
      </c>
      <c r="AF471" s="19"/>
    </row>
    <row r="472" spans="1:34">
      <c r="A472" s="19">
        <v>463</v>
      </c>
      <c r="B472" s="19" t="s">
        <v>1953</v>
      </c>
      <c r="C472" s="19" t="s">
        <v>2236</v>
      </c>
      <c r="D472" s="19" t="str">
        <f>HYPERLINK("http://www.henontech.com/fieldsafety/harzard/harzard_show.php?rid=12061&amp;url=harzardrecs.php","皮带机运行中，在除铁器上吸附了长钢筋，一旦不及时清理会造成皮带划伤。")</f>
        <v>皮带机运行中，在除铁器上吸附了长钢筋，一旦不及时清理会造成皮带划伤。</v>
      </c>
      <c r="E472" s="19" t="s">
        <v>2237</v>
      </c>
      <c r="F472" s="20" t="s">
        <v>42</v>
      </c>
      <c r="G472" s="21" t="s">
        <v>43</v>
      </c>
      <c r="H472" s="19" t="s">
        <v>44</v>
      </c>
      <c r="I472" s="19" t="s">
        <v>45</v>
      </c>
      <c r="J472" s="19"/>
      <c r="K472" s="19"/>
      <c r="L472" s="19" t="s">
        <v>48</v>
      </c>
      <c r="M472" s="19" t="s">
        <v>285</v>
      </c>
      <c r="N472" s="19" t="s">
        <v>2238</v>
      </c>
      <c r="O472" s="19" t="s">
        <v>285</v>
      </c>
      <c r="P472" s="19" t="s">
        <v>410</v>
      </c>
      <c r="Q472" s="19" t="s">
        <v>2185</v>
      </c>
      <c r="R472" s="19" t="s">
        <v>2239</v>
      </c>
      <c r="S472" s="19"/>
      <c r="T472" s="19" t="s">
        <v>100</v>
      </c>
      <c r="U472" s="19" t="s">
        <v>75</v>
      </c>
      <c r="V472" s="19" t="s">
        <v>101</v>
      </c>
      <c r="W472" s="19" t="s">
        <v>77</v>
      </c>
      <c r="X472" s="19"/>
      <c r="Y472" s="19"/>
      <c r="Z472" s="19" t="s">
        <v>2240</v>
      </c>
      <c r="AA472" s="19">
        <v>1</v>
      </c>
      <c r="AB472" s="19">
        <v>1</v>
      </c>
      <c r="AC472" s="19" t="s">
        <v>60</v>
      </c>
      <c r="AD472" s="19" t="s">
        <v>410</v>
      </c>
      <c r="AE472" s="19" t="s">
        <v>1859</v>
      </c>
      <c r="AF472" s="19"/>
    </row>
    <row r="473" spans="1:34">
      <c r="A473" s="19">
        <v>464</v>
      </c>
      <c r="B473" s="19" t="s">
        <v>1953</v>
      </c>
      <c r="C473" s="19" t="s">
        <v>284</v>
      </c>
      <c r="D473" s="19" t="str">
        <f>HYPERLINK("http://www.henontech.com/fieldsafety/harzard/harzard_show.php?rid=12094&amp;url=harzardrecs.php","西五皮带机一长托辊脱落，皮带机运行中容易造成皮带跑偏与机架磨蹭划伤皮带。")</f>
        <v>西五皮带机一长托辊脱落，皮带机运行中容易造成皮带跑偏与机架磨蹭划伤皮带。</v>
      </c>
      <c r="E473" s="19" t="s">
        <v>2241</v>
      </c>
      <c r="F473" s="20" t="s">
        <v>42</v>
      </c>
      <c r="G473" s="21" t="s">
        <v>43</v>
      </c>
      <c r="H473" s="19" t="s">
        <v>44</v>
      </c>
      <c r="I473" s="19" t="s">
        <v>45</v>
      </c>
      <c r="J473" s="19"/>
      <c r="K473" s="19"/>
      <c r="L473" s="19" t="s">
        <v>48</v>
      </c>
      <c r="M473" s="19" t="s">
        <v>285</v>
      </c>
      <c r="N473" s="19" t="s">
        <v>2242</v>
      </c>
      <c r="O473" s="19" t="s">
        <v>285</v>
      </c>
      <c r="P473" s="19" t="s">
        <v>410</v>
      </c>
      <c r="Q473" s="19" t="s">
        <v>2185</v>
      </c>
      <c r="R473" s="19" t="s">
        <v>2243</v>
      </c>
      <c r="S473" s="19"/>
      <c r="T473" s="19" t="s">
        <v>100</v>
      </c>
      <c r="U473" s="19" t="s">
        <v>192</v>
      </c>
      <c r="V473" s="19" t="s">
        <v>56</v>
      </c>
      <c r="W473" s="19" t="s">
        <v>77</v>
      </c>
      <c r="X473" s="19"/>
      <c r="Y473" s="19"/>
      <c r="Z473" s="19" t="s">
        <v>2244</v>
      </c>
      <c r="AA473" s="19">
        <v>1</v>
      </c>
      <c r="AB473" s="19">
        <v>1</v>
      </c>
      <c r="AC473" s="19" t="s">
        <v>60</v>
      </c>
      <c r="AD473" s="19" t="s">
        <v>410</v>
      </c>
      <c r="AE473" s="19" t="s">
        <v>1859</v>
      </c>
      <c r="AF473" s="19"/>
    </row>
    <row r="474" spans="1:34">
      <c r="A474" s="19">
        <v>465</v>
      </c>
      <c r="B474" s="19" t="s">
        <v>1953</v>
      </c>
      <c r="C474" s="19" t="s">
        <v>2082</v>
      </c>
      <c r="D474" s="19" t="str">
        <f>HYPERLINK("http://www.henontech.com/fieldsafety/harzard/harzard_show.php?rid=12100&amp;url=harzardrecs.php","苯酐供蒸汽开启疏水阀时由于胶管老化严重大量高温蒸汽泄露，由于员工躲闪及时未造成人员伤害")</f>
        <v>苯酐供蒸汽开启疏水阀时由于胶管老化严重大量高温蒸汽泄露，由于员工躲闪及时未造成人员伤害</v>
      </c>
      <c r="E474" s="19" t="s">
        <v>2245</v>
      </c>
      <c r="F474" s="24" t="s">
        <v>387</v>
      </c>
      <c r="G474" s="21" t="s">
        <v>43</v>
      </c>
      <c r="H474" s="19" t="s">
        <v>974</v>
      </c>
      <c r="I474" s="19"/>
      <c r="J474" s="19" t="s">
        <v>93</v>
      </c>
      <c r="K474" s="19" t="s">
        <v>69</v>
      </c>
      <c r="L474" s="19"/>
      <c r="M474" s="19" t="s">
        <v>84</v>
      </c>
      <c r="N474" s="19" t="s">
        <v>2246</v>
      </c>
      <c r="O474" s="19"/>
      <c r="P474" s="19"/>
      <c r="Q474" s="19"/>
      <c r="R474" s="19" t="s">
        <v>2247</v>
      </c>
      <c r="S474" s="19" t="s">
        <v>2095</v>
      </c>
      <c r="T474" s="19" t="s">
        <v>54</v>
      </c>
      <c r="U474" s="19" t="s">
        <v>75</v>
      </c>
      <c r="V474" s="19" t="s">
        <v>101</v>
      </c>
      <c r="W474" s="19" t="s">
        <v>77</v>
      </c>
      <c r="X474" s="19"/>
      <c r="Y474" s="19"/>
      <c r="Z474" s="19"/>
      <c r="AA474" s="19">
        <v>0</v>
      </c>
      <c r="AB474" s="19"/>
      <c r="AC474" s="19" t="s">
        <v>392</v>
      </c>
      <c r="AD474" s="19"/>
      <c r="AE474" s="19"/>
      <c r="AF474" s="19"/>
    </row>
    <row r="475" spans="1:34">
      <c r="A475" s="19">
        <v>466</v>
      </c>
      <c r="B475" s="19" t="s">
        <v>2008</v>
      </c>
      <c r="C475" s="19" t="s">
        <v>2248</v>
      </c>
      <c r="D475" s="19" t="str">
        <f>HYPERLINK("http://www.henontech.com/fieldsafety/harzard/harzard_show.php?rid=12107&amp;url=harzardrecs.php","开氨水阀门由于没爬梯，需借助其他物体攀爬上去作业")</f>
        <v>开氨水阀门由于没爬梯，需借助其他物体攀爬上去作业</v>
      </c>
      <c r="E475" s="19" t="s">
        <v>2249</v>
      </c>
      <c r="F475" s="24" t="s">
        <v>387</v>
      </c>
      <c r="G475" s="21" t="s">
        <v>43</v>
      </c>
      <c r="H475" s="19" t="s">
        <v>44</v>
      </c>
      <c r="I475" s="19" t="s">
        <v>67</v>
      </c>
      <c r="J475" s="19" t="s">
        <v>46</v>
      </c>
      <c r="K475" s="19" t="s">
        <v>166</v>
      </c>
      <c r="L475" s="19" t="s">
        <v>48</v>
      </c>
      <c r="M475" s="19" t="s">
        <v>117</v>
      </c>
      <c r="N475" s="19" t="s">
        <v>2250</v>
      </c>
      <c r="O475" s="19"/>
      <c r="P475" s="19"/>
      <c r="Q475" s="19"/>
      <c r="R475" s="19" t="s">
        <v>2251</v>
      </c>
      <c r="S475" s="19" t="s">
        <v>2252</v>
      </c>
      <c r="T475" s="19" t="s">
        <v>54</v>
      </c>
      <c r="U475" s="19" t="s">
        <v>55</v>
      </c>
      <c r="V475" s="19" t="s">
        <v>271</v>
      </c>
      <c r="W475" s="19" t="s">
        <v>122</v>
      </c>
      <c r="X475" s="19"/>
      <c r="Y475" s="19"/>
      <c r="Z475" s="19"/>
      <c r="AA475" s="19">
        <v>0</v>
      </c>
      <c r="AB475" s="19"/>
      <c r="AC475" s="19" t="s">
        <v>392</v>
      </c>
      <c r="AD475" s="19"/>
      <c r="AE475" s="19"/>
      <c r="AF475" s="19"/>
    </row>
    <row r="476" spans="1:34">
      <c r="A476" s="19">
        <v>467</v>
      </c>
      <c r="B476" s="19" t="s">
        <v>1953</v>
      </c>
      <c r="C476" s="19" t="s">
        <v>2119</v>
      </c>
      <c r="D476" s="19" t="str">
        <f>HYPERLINK("http://www.henontech.com/fieldsafety/harzard/harzard_show.php?rid=12108&amp;url=harzardrecs.php","巡检过程中发现二级反渗透产水管道破裂漏水")</f>
        <v>巡检过程中发现二级反渗透产水管道破裂漏水</v>
      </c>
      <c r="E476" s="19" t="s">
        <v>2253</v>
      </c>
      <c r="F476" s="24" t="s">
        <v>387</v>
      </c>
      <c r="G476" s="21" t="s">
        <v>43</v>
      </c>
      <c r="H476" s="19" t="s">
        <v>44</v>
      </c>
      <c r="I476" s="19" t="s">
        <v>67</v>
      </c>
      <c r="J476" s="19" t="s">
        <v>46</v>
      </c>
      <c r="K476" s="19" t="s">
        <v>145</v>
      </c>
      <c r="L476" s="19"/>
      <c r="M476" s="19" t="s">
        <v>84</v>
      </c>
      <c r="N476" s="19" t="s">
        <v>2254</v>
      </c>
      <c r="O476" s="19"/>
      <c r="P476" s="19"/>
      <c r="Q476" s="19"/>
      <c r="R476" s="19" t="s">
        <v>2255</v>
      </c>
      <c r="S476" s="19" t="s">
        <v>2095</v>
      </c>
      <c r="T476" s="19" t="s">
        <v>270</v>
      </c>
      <c r="U476" s="19" t="s">
        <v>192</v>
      </c>
      <c r="V476" s="19" t="s">
        <v>271</v>
      </c>
      <c r="W476" s="19" t="s">
        <v>77</v>
      </c>
      <c r="X476" s="19"/>
      <c r="Y476" s="19"/>
      <c r="Z476" s="19"/>
      <c r="AA476" s="19">
        <v>0</v>
      </c>
      <c r="AB476" s="19"/>
      <c r="AC476" s="19" t="s">
        <v>392</v>
      </c>
      <c r="AD476" s="19"/>
      <c r="AE476" s="19"/>
      <c r="AF476" s="19"/>
    </row>
    <row r="477" spans="1:34">
      <c r="A477" s="19">
        <v>468</v>
      </c>
      <c r="B477" s="19" t="s">
        <v>2008</v>
      </c>
      <c r="C477" s="19" t="s">
        <v>2256</v>
      </c>
      <c r="D477" s="19" t="str">
        <f>HYPERLINK("http://www.henontech.com/fieldsafety/harzard/harzard_show.php?rid=12109&amp;url=harzardrecs.php","一操作工在清理减速机处卫生时，不慎被转动的减速机三角带挤伤脚部，送医治疗")</f>
        <v>一操作工在清理减速机处卫生时，不慎被转动的减速机三角带挤伤脚部，送医治疗</v>
      </c>
      <c r="E477" s="19" t="s">
        <v>2257</v>
      </c>
      <c r="F477" s="24" t="s">
        <v>387</v>
      </c>
      <c r="G477" s="21" t="s">
        <v>43</v>
      </c>
      <c r="H477" s="19" t="s">
        <v>44</v>
      </c>
      <c r="I477" s="19" t="s">
        <v>67</v>
      </c>
      <c r="J477" s="19" t="s">
        <v>68</v>
      </c>
      <c r="K477" s="19" t="s">
        <v>47</v>
      </c>
      <c r="L477" s="19" t="s">
        <v>167</v>
      </c>
      <c r="M477" s="19" t="s">
        <v>117</v>
      </c>
      <c r="N477" s="19" t="s">
        <v>1440</v>
      </c>
      <c r="O477" s="19"/>
      <c r="P477" s="19"/>
      <c r="Q477" s="19"/>
      <c r="R477" s="19" t="s">
        <v>2258</v>
      </c>
      <c r="S477" s="19" t="s">
        <v>2259</v>
      </c>
      <c r="T477" s="19" t="s">
        <v>54</v>
      </c>
      <c r="U477" s="19" t="s">
        <v>75</v>
      </c>
      <c r="V477" s="19" t="s">
        <v>101</v>
      </c>
      <c r="W477" s="19" t="s">
        <v>77</v>
      </c>
      <c r="X477" s="19"/>
      <c r="Y477" s="19"/>
      <c r="Z477" s="19"/>
      <c r="AA477" s="19">
        <v>0</v>
      </c>
      <c r="AB477" s="19"/>
      <c r="AC477" s="19" t="s">
        <v>392</v>
      </c>
      <c r="AD477" s="19"/>
      <c r="AE477" s="19"/>
      <c r="AF477" s="19"/>
    </row>
    <row r="478" spans="1:34" customHeight="1" ht="42">
      <c r="A478" s="19">
        <v>469</v>
      </c>
      <c r="B478" s="19" t="s">
        <v>2008</v>
      </c>
      <c r="C478" s="19" t="s">
        <v>2082</v>
      </c>
      <c r="D478" s="19" t="str">
        <f>HYPERLINK("http://www.henontech.com/fieldsafety/harzard/harzard_show.php?rid=12110&amp;url=harzardrecs.php","炉顶电缆盖损失，旁边蒸汽阀门一旦泄露，烫坏电缆。")</f>
        <v>炉顶电缆盖损失，旁边蒸汽阀门一旦泄露，烫坏电缆。</v>
      </c>
      <c r="E478" s="19" t="s">
        <v>2260</v>
      </c>
      <c r="F478" s="25" t="s">
        <v>1853</v>
      </c>
      <c r="G478" s="21" t="s">
        <v>43</v>
      </c>
      <c r="H478" s="19" t="s">
        <v>974</v>
      </c>
      <c r="I478" s="19" t="s">
        <v>67</v>
      </c>
      <c r="J478" s="19" t="s">
        <v>68</v>
      </c>
      <c r="K478" s="19" t="s">
        <v>47</v>
      </c>
      <c r="L478" s="19" t="s">
        <v>48</v>
      </c>
      <c r="M478" s="19" t="s">
        <v>84</v>
      </c>
      <c r="N478" s="19" t="s">
        <v>2261</v>
      </c>
      <c r="O478" s="19" t="s">
        <v>84</v>
      </c>
      <c r="P478" s="19" t="s">
        <v>809</v>
      </c>
      <c r="Q478" s="19" t="s">
        <v>2132</v>
      </c>
      <c r="R478" s="19" t="s">
        <v>2262</v>
      </c>
      <c r="S478" s="19"/>
      <c r="T478" s="19" t="s">
        <v>100</v>
      </c>
      <c r="U478" s="19" t="s">
        <v>192</v>
      </c>
      <c r="V478" s="19" t="s">
        <v>101</v>
      </c>
      <c r="W478" s="19" t="s">
        <v>77</v>
      </c>
      <c r="X478" s="19" t="s">
        <v>58</v>
      </c>
      <c r="Y478" s="19"/>
      <c r="Z478" s="19" t="s">
        <v>2263</v>
      </c>
      <c r="AA478" s="19">
        <v>2</v>
      </c>
      <c r="AB478" s="19"/>
      <c r="AC478" s="19" t="s">
        <v>392</v>
      </c>
      <c r="AD478" s="19"/>
      <c r="AE478" s="19"/>
      <c r="AF478" s="19"/>
    </row>
    <row r="479" spans="1:34">
      <c r="A479" s="19">
        <v>470</v>
      </c>
      <c r="B479" s="19" t="s">
        <v>2008</v>
      </c>
      <c r="C479" s="19" t="s">
        <v>2264</v>
      </c>
      <c r="D479" s="19" t="str">
        <f>HYPERLINK("http://www.henontech.com/fieldsafety/harzard/harzard_show.php?rid=12115&amp;url=harzardrecs.php","因踏板狭窄，操作工上阶梯脚底打滑踩空。造成脚裸扭伤就医修养7天。")</f>
        <v>因踏板狭窄，操作工上阶梯脚底打滑踩空。造成脚裸扭伤就医修养7天。</v>
      </c>
      <c r="E479" s="19" t="s">
        <v>2265</v>
      </c>
      <c r="F479" s="24" t="s">
        <v>387</v>
      </c>
      <c r="G479" s="21" t="s">
        <v>43</v>
      </c>
      <c r="H479" s="19" t="s">
        <v>44</v>
      </c>
      <c r="I479" s="19" t="s">
        <v>83</v>
      </c>
      <c r="J479" s="19" t="s">
        <v>46</v>
      </c>
      <c r="K479" s="19" t="s">
        <v>166</v>
      </c>
      <c r="L479" s="19" t="s">
        <v>573</v>
      </c>
      <c r="M479" s="19" t="s">
        <v>117</v>
      </c>
      <c r="N479" s="19" t="s">
        <v>2266</v>
      </c>
      <c r="O479" s="19"/>
      <c r="P479" s="19"/>
      <c r="Q479" s="19"/>
      <c r="R479" s="19" t="s">
        <v>2267</v>
      </c>
      <c r="S479" s="19" t="s">
        <v>2268</v>
      </c>
      <c r="T479" s="19" t="s">
        <v>54</v>
      </c>
      <c r="U479" s="19" t="s">
        <v>75</v>
      </c>
      <c r="V479" s="19" t="s">
        <v>101</v>
      </c>
      <c r="W479" s="19" t="s">
        <v>77</v>
      </c>
      <c r="X479" s="19"/>
      <c r="Y479" s="19"/>
      <c r="Z479" s="19"/>
      <c r="AA479" s="19">
        <v>0</v>
      </c>
      <c r="AB479" s="19"/>
      <c r="AC479" s="19" t="s">
        <v>392</v>
      </c>
      <c r="AD479" s="19"/>
      <c r="AE479" s="19"/>
      <c r="AF479" s="19"/>
    </row>
    <row r="480" spans="1:34">
      <c r="A480" s="19">
        <v>471</v>
      </c>
      <c r="B480" s="19" t="s">
        <v>2008</v>
      </c>
      <c r="C480" s="19" t="s">
        <v>284</v>
      </c>
      <c r="D480" s="19" t="str">
        <f>HYPERLINK("http://www.henontech.com/fieldsafety/harzard/harzard_show.php?rid=12116&amp;url=harzardrecs.php","西四小井盖板腐烂，职工经过一旦踩上盖板，将造成人员跌落腿部擦伤，消毒处理后继续工作")</f>
        <v>西四小井盖板腐烂，职工经过一旦踩上盖板，将造成人员跌落腿部擦伤，消毒处理后继续工作</v>
      </c>
      <c r="E480" s="19" t="s">
        <v>2269</v>
      </c>
      <c r="F480" s="20" t="s">
        <v>42</v>
      </c>
      <c r="G480" s="22" t="s">
        <v>66</v>
      </c>
      <c r="H480" s="19" t="s">
        <v>44</v>
      </c>
      <c r="I480" s="19" t="s">
        <v>45</v>
      </c>
      <c r="J480" s="19" t="s">
        <v>46</v>
      </c>
      <c r="K480" s="19"/>
      <c r="L480" s="19"/>
      <c r="M480" s="19" t="s">
        <v>285</v>
      </c>
      <c r="N480" s="19" t="s">
        <v>2270</v>
      </c>
      <c r="O480" s="19" t="s">
        <v>285</v>
      </c>
      <c r="P480" s="19" t="s">
        <v>410</v>
      </c>
      <c r="Q480" s="19" t="s">
        <v>2271</v>
      </c>
      <c r="R480" s="19" t="s">
        <v>2272</v>
      </c>
      <c r="S480" s="19"/>
      <c r="T480" s="19" t="s">
        <v>54</v>
      </c>
      <c r="U480" s="19" t="s">
        <v>75</v>
      </c>
      <c r="V480" s="19" t="s">
        <v>56</v>
      </c>
      <c r="W480" s="19" t="s">
        <v>138</v>
      </c>
      <c r="X480" s="19"/>
      <c r="Y480" s="19"/>
      <c r="Z480" s="19" t="s">
        <v>2273</v>
      </c>
      <c r="AA480" s="19">
        <v>1</v>
      </c>
      <c r="AB480" s="19">
        <v>1</v>
      </c>
      <c r="AC480" s="19" t="s">
        <v>60</v>
      </c>
      <c r="AD480" s="19" t="s">
        <v>410</v>
      </c>
      <c r="AE480" s="19" t="s">
        <v>2008</v>
      </c>
      <c r="AF480" s="19"/>
    </row>
    <row r="481" spans="1:34" customHeight="1" ht="42">
      <c r="A481" s="19">
        <v>472</v>
      </c>
      <c r="B481" s="19" t="s">
        <v>2008</v>
      </c>
      <c r="C481" s="19" t="s">
        <v>2140</v>
      </c>
      <c r="D481" s="19" t="str">
        <f>HYPERLINK("http://www.henontech.com/fieldsafety/harzard/harzard_show.php?rid=12117&amp;url=harzardrecs.php","锅炉操作工去2号给水泵巡检时由于水泵南侧水沟盖板不牢固左腿不慎掉入水沟内造成左小腿骨折，需住院治疗。")</f>
        <v>锅炉操作工去2号给水泵巡检时由于水泵南侧水沟盖板不牢固左腿不慎掉入水沟内造成左小腿骨折，需住院治疗。</v>
      </c>
      <c r="E481" s="19" t="s">
        <v>2274</v>
      </c>
      <c r="F481" s="25" t="s">
        <v>1853</v>
      </c>
      <c r="G481" s="21" t="s">
        <v>43</v>
      </c>
      <c r="H481" s="19" t="s">
        <v>44</v>
      </c>
      <c r="I481" s="19"/>
      <c r="J481" s="19" t="s">
        <v>68</v>
      </c>
      <c r="K481" s="19" t="s">
        <v>145</v>
      </c>
      <c r="L481" s="19"/>
      <c r="M481" s="19" t="s">
        <v>84</v>
      </c>
      <c r="N481" s="19" t="s">
        <v>2275</v>
      </c>
      <c r="O481" s="19" t="s">
        <v>84</v>
      </c>
      <c r="P481" s="19" t="s">
        <v>136</v>
      </c>
      <c r="Q481" s="19" t="s">
        <v>2132</v>
      </c>
      <c r="R481" s="19" t="s">
        <v>2276</v>
      </c>
      <c r="S481" s="19"/>
      <c r="T481" s="19" t="s">
        <v>54</v>
      </c>
      <c r="U481" s="19" t="s">
        <v>55</v>
      </c>
      <c r="V481" s="19" t="s">
        <v>56</v>
      </c>
      <c r="W481" s="19" t="s">
        <v>57</v>
      </c>
      <c r="X481" s="19" t="s">
        <v>58</v>
      </c>
      <c r="Y481" s="19"/>
      <c r="Z481" s="19" t="s">
        <v>2134</v>
      </c>
      <c r="AA481" s="19">
        <v>2</v>
      </c>
      <c r="AB481" s="19"/>
      <c r="AC481" s="19" t="s">
        <v>392</v>
      </c>
      <c r="AD481" s="19"/>
      <c r="AE481" s="19"/>
      <c r="AF481" s="19"/>
    </row>
    <row r="482" spans="1:34">
      <c r="A482" s="19">
        <v>473</v>
      </c>
      <c r="B482" s="19" t="s">
        <v>2008</v>
      </c>
      <c r="C482" s="19" t="s">
        <v>1930</v>
      </c>
      <c r="D482" s="19" t="str">
        <f>HYPERLINK("http://www.henontech.com/fieldsafety/harzard/harzard_show.php?rid=12121&amp;url=harzardrecs.php","南脱硫西溶液槽处接地线翘起，中夜班工作期间如果一名操作人员巡查时经过此处会被翘起的接地线绊倒，造成一名操作人员腿部擦伤，简单处理后继续上班。")</f>
        <v>南脱硫西溶液槽处接地线翘起，中夜班工作期间如果一名操作人员巡查时经过此处会被翘起的接地线绊倒，造成一名操作人员腿部擦伤，简单处理后继续上班。</v>
      </c>
      <c r="E482" s="19" t="s">
        <v>2277</v>
      </c>
      <c r="F482" s="20" t="s">
        <v>42</v>
      </c>
      <c r="G482" s="21" t="s">
        <v>43</v>
      </c>
      <c r="H482" s="19" t="s">
        <v>44</v>
      </c>
      <c r="I482" s="19" t="s">
        <v>45</v>
      </c>
      <c r="J482" s="19" t="s">
        <v>46</v>
      </c>
      <c r="K482" s="19" t="s">
        <v>69</v>
      </c>
      <c r="L482" s="19"/>
      <c r="M482" s="19" t="s">
        <v>70</v>
      </c>
      <c r="N482" s="19" t="s">
        <v>146</v>
      </c>
      <c r="O482" s="19" t="s">
        <v>70</v>
      </c>
      <c r="P482" s="19" t="s">
        <v>72</v>
      </c>
      <c r="Q482" s="19" t="s">
        <v>1322</v>
      </c>
      <c r="R482" s="19" t="s">
        <v>2278</v>
      </c>
      <c r="S482" s="19"/>
      <c r="T482" s="19" t="s">
        <v>54</v>
      </c>
      <c r="U482" s="19" t="s">
        <v>75</v>
      </c>
      <c r="V482" s="19" t="s">
        <v>101</v>
      </c>
      <c r="W482" s="19" t="s">
        <v>77</v>
      </c>
      <c r="X482" s="19"/>
      <c r="Y482" s="19"/>
      <c r="Z482" s="19" t="s">
        <v>2279</v>
      </c>
      <c r="AA482" s="19">
        <v>1</v>
      </c>
      <c r="AB482" s="19">
        <v>1</v>
      </c>
      <c r="AC482" s="19" t="s">
        <v>60</v>
      </c>
      <c r="AD482" s="19" t="s">
        <v>72</v>
      </c>
      <c r="AE482" s="19" t="s">
        <v>2171</v>
      </c>
      <c r="AF482" s="19"/>
    </row>
    <row r="483" spans="1:34">
      <c r="A483" s="19">
        <v>474</v>
      </c>
      <c r="B483" s="19" t="s">
        <v>2008</v>
      </c>
      <c r="C483" s="19" t="s">
        <v>407</v>
      </c>
      <c r="D483" s="19" t="str">
        <f>HYPERLINK("http://www.henontech.com/fieldsafety/harzard/harzard_show.php?rid=12155&amp;url=harzardrecs.php","卸车司机在卸煤时未戴安全帽，一旦挡板打开回弹，撞伤司机头部，当场昏迷。送医院检查，轻度脑震荡，在家修养7天")</f>
        <v>卸车司机在卸煤时未戴安全帽，一旦挡板打开回弹，撞伤司机头部，当场昏迷。送医院检查，轻度脑震荡，在家修养7天</v>
      </c>
      <c r="E483" s="19" t="s">
        <v>2280</v>
      </c>
      <c r="F483" s="20" t="s">
        <v>42</v>
      </c>
      <c r="G483" s="23" t="s">
        <v>231</v>
      </c>
      <c r="H483" s="19" t="s">
        <v>44</v>
      </c>
      <c r="I483" s="19" t="s">
        <v>45</v>
      </c>
      <c r="J483" s="19"/>
      <c r="K483" s="19"/>
      <c r="L483" s="19"/>
      <c r="M483" s="19" t="s">
        <v>285</v>
      </c>
      <c r="N483" s="19" t="s">
        <v>2281</v>
      </c>
      <c r="O483" s="19" t="s">
        <v>285</v>
      </c>
      <c r="P483" s="19" t="s">
        <v>410</v>
      </c>
      <c r="Q483" s="19" t="s">
        <v>2271</v>
      </c>
      <c r="R483" s="19" t="s">
        <v>2282</v>
      </c>
      <c r="S483" s="19"/>
      <c r="T483" s="19" t="s">
        <v>54</v>
      </c>
      <c r="U483" s="19" t="s">
        <v>55</v>
      </c>
      <c r="V483" s="19" t="s">
        <v>56</v>
      </c>
      <c r="W483" s="19" t="s">
        <v>57</v>
      </c>
      <c r="X483" s="19" t="s">
        <v>2283</v>
      </c>
      <c r="Y483" s="19"/>
      <c r="Z483" s="19" t="s">
        <v>2284</v>
      </c>
      <c r="AA483" s="19">
        <v>1</v>
      </c>
      <c r="AB483" s="19">
        <v>1</v>
      </c>
      <c r="AC483" s="19" t="s">
        <v>60</v>
      </c>
      <c r="AD483" s="19" t="s">
        <v>410</v>
      </c>
      <c r="AE483" s="19" t="s">
        <v>2008</v>
      </c>
      <c r="AF483" s="19"/>
    </row>
    <row r="484" spans="1:34">
      <c r="A484" s="19">
        <v>475</v>
      </c>
      <c r="B484" s="19" t="s">
        <v>2008</v>
      </c>
      <c r="C484" s="19" t="s">
        <v>284</v>
      </c>
      <c r="D484" s="19" t="str">
        <f>HYPERLINK("http://www.henontech.com/fieldsafety/harzard/harzard_show.php?rid=12157&amp;url=harzardrecs.php","3#煤场钢筋外露，职工一旦在料口清理积煤，被外露的钢筋绊倒，造成手掌擦伤，消毒处理后继续工作")</f>
        <v>3#煤场钢筋外露，职工一旦在料口清理积煤，被外露的钢筋绊倒，造成手掌擦伤，消毒处理后继续工作</v>
      </c>
      <c r="E484" s="19" t="s">
        <v>2285</v>
      </c>
      <c r="F484" s="20" t="s">
        <v>42</v>
      </c>
      <c r="G484" s="22" t="s">
        <v>66</v>
      </c>
      <c r="H484" s="19" t="s">
        <v>44</v>
      </c>
      <c r="I484" s="19" t="s">
        <v>45</v>
      </c>
      <c r="J484" s="19" t="s">
        <v>46</v>
      </c>
      <c r="K484" s="19"/>
      <c r="L484" s="19"/>
      <c r="M484" s="19" t="s">
        <v>285</v>
      </c>
      <c r="N484" s="19" t="s">
        <v>2286</v>
      </c>
      <c r="O484" s="19" t="s">
        <v>285</v>
      </c>
      <c r="P484" s="19" t="s">
        <v>410</v>
      </c>
      <c r="Q484" s="19" t="s">
        <v>2271</v>
      </c>
      <c r="R484" s="19" t="s">
        <v>2287</v>
      </c>
      <c r="S484" s="19"/>
      <c r="T484" s="19" t="s">
        <v>54</v>
      </c>
      <c r="U484" s="19" t="s">
        <v>75</v>
      </c>
      <c r="V484" s="19" t="s">
        <v>56</v>
      </c>
      <c r="W484" s="19" t="s">
        <v>138</v>
      </c>
      <c r="X484" s="19" t="s">
        <v>58</v>
      </c>
      <c r="Y484" s="19"/>
      <c r="Z484" s="19" t="s">
        <v>2288</v>
      </c>
      <c r="AA484" s="19">
        <v>1</v>
      </c>
      <c r="AB484" s="19">
        <v>1</v>
      </c>
      <c r="AC484" s="19" t="s">
        <v>60</v>
      </c>
      <c r="AD484" s="19" t="s">
        <v>410</v>
      </c>
      <c r="AE484" s="19" t="s">
        <v>2289</v>
      </c>
      <c r="AF484" s="19"/>
    </row>
    <row r="485" spans="1:34">
      <c r="A485" s="19">
        <v>476</v>
      </c>
      <c r="B485" s="19" t="s">
        <v>2008</v>
      </c>
      <c r="C485" s="19" t="s">
        <v>2290</v>
      </c>
      <c r="D485" s="19" t="str">
        <f>HYPERLINK("http://www.henontech.com/fieldsafety/harzard/harzard_show.php?rid=12209&amp;url=harzardrecs.php","北风机拆除现场，因乙炔气瓶压力表模糊不清，乙炔瓶内气用完无压力，施工人员未及时关闭阀门回火爆炸，导致一名施工人员死亡。")</f>
        <v>北风机拆除现场，因乙炔气瓶压力表模糊不清，乙炔瓶内气用完无压力，施工人员未及时关闭阀门回火爆炸，导致一名施工人员死亡。</v>
      </c>
      <c r="E485" s="19" t="s">
        <v>2291</v>
      </c>
      <c r="F485" s="20" t="s">
        <v>42</v>
      </c>
      <c r="G485" s="21" t="s">
        <v>43</v>
      </c>
      <c r="H485" s="19" t="s">
        <v>44</v>
      </c>
      <c r="I485" s="19" t="s">
        <v>45</v>
      </c>
      <c r="J485" s="19" t="s">
        <v>46</v>
      </c>
      <c r="K485" s="19" t="s">
        <v>69</v>
      </c>
      <c r="L485" s="19"/>
      <c r="M485" s="19" t="s">
        <v>70</v>
      </c>
      <c r="N485" s="19" t="s">
        <v>564</v>
      </c>
      <c r="O485" s="19" t="s">
        <v>70</v>
      </c>
      <c r="P485" s="19" t="s">
        <v>72</v>
      </c>
      <c r="Q485" s="19" t="s">
        <v>1322</v>
      </c>
      <c r="R485" s="19" t="s">
        <v>293</v>
      </c>
      <c r="S485" s="19"/>
      <c r="T485" s="19" t="s">
        <v>54</v>
      </c>
      <c r="U485" s="19" t="s">
        <v>121</v>
      </c>
      <c r="V485" s="19" t="s">
        <v>271</v>
      </c>
      <c r="W485" s="19" t="s">
        <v>122</v>
      </c>
      <c r="X485" s="19"/>
      <c r="Y485" s="19"/>
      <c r="Z485" s="19" t="s">
        <v>2292</v>
      </c>
      <c r="AA485" s="19">
        <v>1</v>
      </c>
      <c r="AB485" s="19">
        <v>1</v>
      </c>
      <c r="AC485" s="19" t="s">
        <v>60</v>
      </c>
      <c r="AD485" s="19" t="s">
        <v>72</v>
      </c>
      <c r="AE485" s="19" t="s">
        <v>2171</v>
      </c>
      <c r="AF485" s="19"/>
    </row>
    <row r="486" spans="1:34">
      <c r="A486" s="19">
        <v>477</v>
      </c>
      <c r="B486" s="19" t="s">
        <v>2008</v>
      </c>
      <c r="C486" s="19" t="s">
        <v>49</v>
      </c>
      <c r="D486" s="19" t="str">
        <f>HYPERLINK("http://www.henontech.com/fieldsafety/harzard/harzard_show.php?rid=12250&amp;url=harzardrecs.php","2#站沉淀罐护栏缺失，夜间一名操作工巡检时不慎掉入，送医院救治，左小腿骨折，住院半月，在家休养3个月，损工106天。")</f>
        <v>2#站沉淀罐护栏缺失，夜间一名操作工巡检时不慎掉入，送医院救治，左小腿骨折，住院半月，在家休养3个月，损工106天。</v>
      </c>
      <c r="E486" s="19" t="s">
        <v>2293</v>
      </c>
      <c r="F486" s="20" t="s">
        <v>42</v>
      </c>
      <c r="G486" s="21" t="s">
        <v>43</v>
      </c>
      <c r="H486" s="19" t="s">
        <v>44</v>
      </c>
      <c r="I486" s="19"/>
      <c r="J486" s="19" t="s">
        <v>68</v>
      </c>
      <c r="K486" s="19" t="s">
        <v>69</v>
      </c>
      <c r="L486" s="19"/>
      <c r="M486" s="19" t="s">
        <v>49</v>
      </c>
      <c r="N486" s="19" t="s">
        <v>2294</v>
      </c>
      <c r="O486" s="19" t="s">
        <v>49</v>
      </c>
      <c r="P486" s="19" t="s">
        <v>523</v>
      </c>
      <c r="Q486" s="19" t="s">
        <v>2295</v>
      </c>
      <c r="R486" s="19" t="s">
        <v>2296</v>
      </c>
      <c r="S486" s="19"/>
      <c r="T486" s="19" t="s">
        <v>54</v>
      </c>
      <c r="U486" s="19" t="s">
        <v>55</v>
      </c>
      <c r="V486" s="19" t="s">
        <v>56</v>
      </c>
      <c r="W486" s="19" t="s">
        <v>57</v>
      </c>
      <c r="X486" s="19" t="s">
        <v>58</v>
      </c>
      <c r="Y486" s="19" t="s">
        <v>58</v>
      </c>
      <c r="Z486" s="19" t="s">
        <v>132</v>
      </c>
      <c r="AA486" s="19">
        <v>1</v>
      </c>
      <c r="AB486" s="19">
        <v>1</v>
      </c>
      <c r="AC486" s="19" t="s">
        <v>60</v>
      </c>
      <c r="AD486" s="19" t="s">
        <v>523</v>
      </c>
      <c r="AE486" s="19" t="s">
        <v>2297</v>
      </c>
      <c r="AF486" s="19"/>
    </row>
    <row r="487" spans="1:34">
      <c r="A487" s="19">
        <v>478</v>
      </c>
      <c r="B487" s="19" t="s">
        <v>2298</v>
      </c>
      <c r="C487" s="19" t="s">
        <v>549</v>
      </c>
      <c r="D487" s="19" t="str">
        <f>HYPERLINK("http://www.henontech.com/fieldsafety/harzard/harzard_show.php?rid=12261&amp;url=harzardrecs.php","初冷器南道路下水道盖板破碎，如果一员工从此经过，不慎掉入，造成脚腕扭伤，去医院就医后损工七天。")</f>
        <v>初冷器南道路下水道盖板破碎，如果一员工从此经过，不慎掉入，造成脚腕扭伤，去医院就医后损工七天。</v>
      </c>
      <c r="E487" s="19" t="s">
        <v>2299</v>
      </c>
      <c r="F487" s="20" t="s">
        <v>42</v>
      </c>
      <c r="G487" s="21" t="s">
        <v>43</v>
      </c>
      <c r="H487" s="19" t="s">
        <v>44</v>
      </c>
      <c r="I487" s="19" t="s">
        <v>67</v>
      </c>
      <c r="J487" s="19" t="s">
        <v>46</v>
      </c>
      <c r="K487" s="19" t="s">
        <v>47</v>
      </c>
      <c r="L487" s="19" t="s">
        <v>48</v>
      </c>
      <c r="M487" s="19" t="s">
        <v>70</v>
      </c>
      <c r="N487" s="19" t="s">
        <v>551</v>
      </c>
      <c r="O487" s="19" t="s">
        <v>70</v>
      </c>
      <c r="P487" s="19" t="s">
        <v>72</v>
      </c>
      <c r="Q487" s="19" t="s">
        <v>1322</v>
      </c>
      <c r="R487" s="19" t="s">
        <v>2300</v>
      </c>
      <c r="S487" s="19"/>
      <c r="T487" s="19" t="s">
        <v>54</v>
      </c>
      <c r="U487" s="19" t="s">
        <v>55</v>
      </c>
      <c r="V487" s="19" t="s">
        <v>56</v>
      </c>
      <c r="W487" s="19" t="s">
        <v>57</v>
      </c>
      <c r="X487" s="19"/>
      <c r="Y487" s="19"/>
      <c r="Z487" s="19" t="s">
        <v>733</v>
      </c>
      <c r="AA487" s="19">
        <v>1</v>
      </c>
      <c r="AB487" s="19">
        <v>1</v>
      </c>
      <c r="AC487" s="19" t="s">
        <v>60</v>
      </c>
      <c r="AD487" s="19" t="s">
        <v>72</v>
      </c>
      <c r="AE487" s="19" t="s">
        <v>2171</v>
      </c>
      <c r="AF487" s="19"/>
    </row>
    <row r="488" spans="1:34">
      <c r="A488" s="19">
        <v>479</v>
      </c>
      <c r="B488" s="19" t="s">
        <v>2298</v>
      </c>
      <c r="C488" s="19" t="s">
        <v>2140</v>
      </c>
      <c r="D488" s="19" t="str">
        <f>HYPERLINK("http://www.henontech.com/fieldsafety/harzard/harzard_show.php?rid=12263&amp;url=harzardrecs.php","主控室地板破裂发生塌陷，可能导致操作工右脚扭伤，送医院就医，在家休养七天，损工七天")</f>
        <v>主控室地板破裂发生塌陷，可能导致操作工右脚扭伤，送医院就医，在家休养七天，损工七天</v>
      </c>
      <c r="E488" s="19" t="s">
        <v>2301</v>
      </c>
      <c r="F488" s="24" t="s">
        <v>387</v>
      </c>
      <c r="G488" s="21" t="s">
        <v>43</v>
      </c>
      <c r="H488" s="19" t="s">
        <v>44</v>
      </c>
      <c r="I488" s="19" t="s">
        <v>83</v>
      </c>
      <c r="J488" s="19" t="s">
        <v>46</v>
      </c>
      <c r="K488" s="19" t="s">
        <v>145</v>
      </c>
      <c r="L488" s="19" t="s">
        <v>48</v>
      </c>
      <c r="M488" s="19" t="s">
        <v>84</v>
      </c>
      <c r="N488" s="19" t="s">
        <v>2302</v>
      </c>
      <c r="O488" s="19"/>
      <c r="P488" s="19"/>
      <c r="Q488" s="19"/>
      <c r="R488" s="19" t="s">
        <v>983</v>
      </c>
      <c r="S488" s="19" t="s">
        <v>2095</v>
      </c>
      <c r="T488" s="19" t="s">
        <v>54</v>
      </c>
      <c r="U488" s="19" t="s">
        <v>55</v>
      </c>
      <c r="V488" s="19" t="s">
        <v>101</v>
      </c>
      <c r="W488" s="19" t="s">
        <v>138</v>
      </c>
      <c r="X488" s="19"/>
      <c r="Y488" s="19"/>
      <c r="Z488" s="19"/>
      <c r="AA488" s="19">
        <v>0</v>
      </c>
      <c r="AB488" s="19"/>
      <c r="AC488" s="19" t="s">
        <v>392</v>
      </c>
      <c r="AD488" s="19"/>
      <c r="AE488" s="19"/>
      <c r="AF488" s="19"/>
    </row>
    <row r="489" spans="1:34">
      <c r="A489" s="19">
        <v>480</v>
      </c>
      <c r="B489" s="19" t="s">
        <v>2298</v>
      </c>
      <c r="C489" s="19" t="s">
        <v>2107</v>
      </c>
      <c r="D489" s="19" t="str">
        <f>HYPERLINK("http://www.henontech.com/fieldsafety/harzard/harzard_show.php?rid=12276&amp;url=harzardrecs.php","可导致巡检人员摔伤及扭伤")</f>
        <v>可导致巡检人员摔伤及扭伤</v>
      </c>
      <c r="E489" s="19" t="s">
        <v>2303</v>
      </c>
      <c r="F489" s="24" t="s">
        <v>387</v>
      </c>
      <c r="G489" s="21" t="s">
        <v>43</v>
      </c>
      <c r="H489" s="19" t="s">
        <v>44</v>
      </c>
      <c r="I489" s="19" t="s">
        <v>67</v>
      </c>
      <c r="J489" s="19" t="s">
        <v>46</v>
      </c>
      <c r="K489" s="19" t="s">
        <v>69</v>
      </c>
      <c r="L489" s="19" t="s">
        <v>48</v>
      </c>
      <c r="M489" s="19" t="s">
        <v>84</v>
      </c>
      <c r="N489" s="19" t="s">
        <v>2304</v>
      </c>
      <c r="O489" s="19"/>
      <c r="P489" s="19"/>
      <c r="Q489" s="19"/>
      <c r="R489" s="19" t="s">
        <v>2305</v>
      </c>
      <c r="S489" s="19" t="s">
        <v>2306</v>
      </c>
      <c r="T489" s="19" t="s">
        <v>54</v>
      </c>
      <c r="U489" s="19" t="s">
        <v>75</v>
      </c>
      <c r="V489" s="19" t="s">
        <v>101</v>
      </c>
      <c r="W489" s="19" t="s">
        <v>77</v>
      </c>
      <c r="X489" s="19"/>
      <c r="Y489" s="19"/>
      <c r="Z489" s="19"/>
      <c r="AA489" s="19">
        <v>0</v>
      </c>
      <c r="AB489" s="19"/>
      <c r="AC489" s="19" t="s">
        <v>392</v>
      </c>
      <c r="AD489" s="19"/>
      <c r="AE489" s="19"/>
      <c r="AF489" s="19"/>
    </row>
    <row r="490" spans="1:34" customHeight="1" ht="42">
      <c r="A490" s="19">
        <v>481</v>
      </c>
      <c r="B490" s="19" t="s">
        <v>2298</v>
      </c>
      <c r="C490" s="19" t="s">
        <v>485</v>
      </c>
      <c r="D490" s="19" t="str">
        <f>HYPERLINK("http://www.henontech.com/fieldsafety/harzard/harzard_show.php?rid=12288&amp;url=harzardrecs.php","5.5米焦炉封堵上升管水封的水管阀门保温层破损，无法起到保温作用。假如天气寒冷时阀门冻住，无法给上升管水封供水，将冒大烟造成环保事故。")</f>
        <v>5.5米焦炉封堵上升管水封的水管阀门保温层破损，无法起到保温作用。假如天气寒冷时阀门冻住，无法给上升管水封供水，将冒大烟造成环保事故。</v>
      </c>
      <c r="E490" s="19" t="s">
        <v>2307</v>
      </c>
      <c r="F490" s="20" t="s">
        <v>42</v>
      </c>
      <c r="G490" s="21" t="s">
        <v>43</v>
      </c>
      <c r="H490" s="19" t="s">
        <v>44</v>
      </c>
      <c r="I490" s="19" t="s">
        <v>67</v>
      </c>
      <c r="J490" s="19" t="s">
        <v>46</v>
      </c>
      <c r="K490" s="19" t="s">
        <v>209</v>
      </c>
      <c r="L490" s="19" t="s">
        <v>48</v>
      </c>
      <c r="M490" s="19" t="s">
        <v>117</v>
      </c>
      <c r="N490" s="19" t="s">
        <v>1679</v>
      </c>
      <c r="O490" s="19" t="s">
        <v>117</v>
      </c>
      <c r="P490" s="19" t="s">
        <v>636</v>
      </c>
      <c r="Q490" s="19" t="s">
        <v>2295</v>
      </c>
      <c r="R490" s="19" t="s">
        <v>2308</v>
      </c>
      <c r="S490" s="19"/>
      <c r="T490" s="19" t="s">
        <v>270</v>
      </c>
      <c r="U490" s="19" t="s">
        <v>192</v>
      </c>
      <c r="V490" s="19" t="s">
        <v>56</v>
      </c>
      <c r="W490" s="19" t="s">
        <v>77</v>
      </c>
      <c r="X490" s="19" t="s">
        <v>58</v>
      </c>
      <c r="Y490" s="19"/>
      <c r="Z490" s="19" t="s">
        <v>2309</v>
      </c>
      <c r="AA490" s="19">
        <v>2</v>
      </c>
      <c r="AB490" s="19">
        <v>2</v>
      </c>
      <c r="AC490" s="19" t="s">
        <v>60</v>
      </c>
      <c r="AD490" s="19" t="s">
        <v>636</v>
      </c>
      <c r="AE490" s="19" t="s">
        <v>2310</v>
      </c>
      <c r="AF490" s="19" t="s">
        <v>2311</v>
      </c>
    </row>
    <row r="491" spans="1:34" customHeight="1" ht="42">
      <c r="A491" s="19">
        <v>482</v>
      </c>
      <c r="B491" s="19" t="s">
        <v>2298</v>
      </c>
      <c r="C491" s="19" t="s">
        <v>380</v>
      </c>
      <c r="D491" s="19" t="str">
        <f>HYPERLINK("http://www.henontech.com/fieldsafety/harzard/harzard_show.php?rid=12296&amp;url=harzardrecs.php","煤五斜桥处明灯损坏 操作工经过时看不清脚下不慎拌倒造成右手腕骨折 送医院治疗住院一个月在家修养92天")</f>
        <v>煤五斜桥处明灯损坏 操作工经过时看不清脚下不慎拌倒造成右手腕骨折 送医院治疗住院一个月在家修养92天</v>
      </c>
      <c r="E491" s="19" t="s">
        <v>2312</v>
      </c>
      <c r="F491" s="20" t="s">
        <v>42</v>
      </c>
      <c r="G491" s="21" t="s">
        <v>43</v>
      </c>
      <c r="H491" s="19" t="s">
        <v>44</v>
      </c>
      <c r="I491" s="19" t="s">
        <v>45</v>
      </c>
      <c r="J491" s="19"/>
      <c r="K491" s="19" t="s">
        <v>145</v>
      </c>
      <c r="L491" s="19" t="s">
        <v>48</v>
      </c>
      <c r="M491" s="19" t="s">
        <v>285</v>
      </c>
      <c r="N491" s="19" t="s">
        <v>2313</v>
      </c>
      <c r="O491" s="19" t="s">
        <v>285</v>
      </c>
      <c r="P491" s="19" t="s">
        <v>642</v>
      </c>
      <c r="Q491" s="19" t="s">
        <v>2314</v>
      </c>
      <c r="R491" s="19" t="s">
        <v>2315</v>
      </c>
      <c r="S491" s="19"/>
      <c r="T491" s="19" t="s">
        <v>54</v>
      </c>
      <c r="U491" s="19" t="s">
        <v>55</v>
      </c>
      <c r="V491" s="19" t="s">
        <v>101</v>
      </c>
      <c r="W491" s="19" t="s">
        <v>138</v>
      </c>
      <c r="X491" s="19"/>
      <c r="Y491" s="19"/>
      <c r="Z491" s="19" t="s">
        <v>2316</v>
      </c>
      <c r="AA491" s="19">
        <v>2</v>
      </c>
      <c r="AB491" s="19">
        <v>2</v>
      </c>
      <c r="AC491" s="19" t="s">
        <v>60</v>
      </c>
      <c r="AD491" s="19" t="s">
        <v>642</v>
      </c>
      <c r="AE491" s="19" t="s">
        <v>2221</v>
      </c>
      <c r="AF491" s="19"/>
    </row>
    <row r="492" spans="1:34" customHeight="1" ht="42">
      <c r="A492" s="19">
        <v>483</v>
      </c>
      <c r="B492" s="19" t="s">
        <v>2298</v>
      </c>
      <c r="C492" s="19" t="s">
        <v>380</v>
      </c>
      <c r="D492" s="19" t="str">
        <f>HYPERLINK("http://www.henontech.com/fieldsafety/harzard/harzard_show.php?rid=12297&amp;url=harzardrecs.php","煤六楼梯处照明灯不亮 操作工清理卫生经过时看不清脚下摔倒 扭伤右脚脚踝 休息一会不影响工作")</f>
        <v>煤六楼梯处照明灯不亮 操作工清理卫生经过时看不清脚下摔倒 扭伤右脚脚踝 休息一会不影响工作</v>
      </c>
      <c r="E492" s="19" t="s">
        <v>2317</v>
      </c>
      <c r="F492" s="20" t="s">
        <v>42</v>
      </c>
      <c r="G492" s="21" t="s">
        <v>43</v>
      </c>
      <c r="H492" s="19" t="s">
        <v>44</v>
      </c>
      <c r="I492" s="19" t="s">
        <v>45</v>
      </c>
      <c r="J492" s="19"/>
      <c r="K492" s="19" t="s">
        <v>145</v>
      </c>
      <c r="L492" s="19" t="s">
        <v>48</v>
      </c>
      <c r="M492" s="19" t="s">
        <v>285</v>
      </c>
      <c r="N492" s="19" t="s">
        <v>2318</v>
      </c>
      <c r="O492" s="19" t="s">
        <v>285</v>
      </c>
      <c r="P492" s="19" t="s">
        <v>642</v>
      </c>
      <c r="Q492" s="19" t="s">
        <v>2314</v>
      </c>
      <c r="R492" s="19" t="s">
        <v>2239</v>
      </c>
      <c r="S492" s="19"/>
      <c r="T492" s="19" t="s">
        <v>54</v>
      </c>
      <c r="U492" s="19" t="s">
        <v>75</v>
      </c>
      <c r="V492" s="19" t="s">
        <v>76</v>
      </c>
      <c r="W492" s="19" t="s">
        <v>77</v>
      </c>
      <c r="X492" s="19"/>
      <c r="Y492" s="19"/>
      <c r="Z492" s="19" t="s">
        <v>2319</v>
      </c>
      <c r="AA492" s="19">
        <v>2</v>
      </c>
      <c r="AB492" s="19">
        <v>2</v>
      </c>
      <c r="AC492" s="19" t="s">
        <v>60</v>
      </c>
      <c r="AD492" s="19" t="s">
        <v>642</v>
      </c>
      <c r="AE492" s="19" t="s">
        <v>2221</v>
      </c>
      <c r="AF492" s="19"/>
    </row>
    <row r="493" spans="1:34" customHeight="1" ht="42">
      <c r="A493" s="19">
        <v>484</v>
      </c>
      <c r="B493" s="19" t="s">
        <v>2298</v>
      </c>
      <c r="C493" s="19" t="s">
        <v>407</v>
      </c>
      <c r="D493" s="19" t="str">
        <f>HYPERLINK("http://www.henontech.com/fieldsafety/harzard/harzard_show.php?rid=12298&amp;url=harzardrecs.php","东一地沟护栏套管缺失 操作工巡检时摔倒护栏起不到保护作用造成右胳膊卷入皮带造成右前臂骨折 住院一个月在家修养92天")</f>
        <v>东一地沟护栏套管缺失 操作工巡检时摔倒护栏起不到保护作用造成右胳膊卷入皮带造成右前臂骨折 住院一个月在家修养92天</v>
      </c>
      <c r="E493" s="19" t="s">
        <v>2320</v>
      </c>
      <c r="F493" s="20" t="s">
        <v>42</v>
      </c>
      <c r="G493" s="21" t="s">
        <v>43</v>
      </c>
      <c r="H493" s="19" t="s">
        <v>44</v>
      </c>
      <c r="I493" s="19" t="s">
        <v>45</v>
      </c>
      <c r="J493" s="19" t="s">
        <v>68</v>
      </c>
      <c r="K493" s="19" t="s">
        <v>47</v>
      </c>
      <c r="L493" s="19" t="s">
        <v>48</v>
      </c>
      <c r="M493" s="19" t="s">
        <v>285</v>
      </c>
      <c r="N493" s="19" t="s">
        <v>2321</v>
      </c>
      <c r="O493" s="19" t="s">
        <v>285</v>
      </c>
      <c r="P493" s="19" t="s">
        <v>642</v>
      </c>
      <c r="Q493" s="19" t="s">
        <v>2314</v>
      </c>
      <c r="R493" s="19" t="s">
        <v>2322</v>
      </c>
      <c r="S493" s="19"/>
      <c r="T493" s="19" t="s">
        <v>54</v>
      </c>
      <c r="U493" s="19" t="s">
        <v>55</v>
      </c>
      <c r="V493" s="19" t="s">
        <v>101</v>
      </c>
      <c r="W493" s="19" t="s">
        <v>138</v>
      </c>
      <c r="X493" s="19"/>
      <c r="Y493" s="19"/>
      <c r="Z493" s="19" t="s">
        <v>2323</v>
      </c>
      <c r="AA493" s="19">
        <v>2</v>
      </c>
      <c r="AB493" s="19">
        <v>2</v>
      </c>
      <c r="AC493" s="19" t="s">
        <v>60</v>
      </c>
      <c r="AD493" s="19" t="s">
        <v>642</v>
      </c>
      <c r="AE493" s="19" t="s">
        <v>2221</v>
      </c>
      <c r="AF493" s="19"/>
    </row>
    <row r="494" spans="1:34">
      <c r="A494" s="19">
        <v>485</v>
      </c>
      <c r="B494" s="19" t="s">
        <v>2298</v>
      </c>
      <c r="C494" s="19" t="s">
        <v>407</v>
      </c>
      <c r="D494" s="19" t="str">
        <f>HYPERLINK("http://www.henontech.com/fieldsafety/harzard/harzard_show.php?rid=12299&amp;url=harzardrecs.php","东一给料机销子松动 继续使用造成卸料斗耳子损坏 无法正常使用影响生产")</f>
        <v>东一给料机销子松动 继续使用造成卸料斗耳子损坏 无法正常使用影响生产</v>
      </c>
      <c r="E494" s="19" t="s">
        <v>2324</v>
      </c>
      <c r="F494" s="20" t="s">
        <v>42</v>
      </c>
      <c r="G494" s="21" t="s">
        <v>43</v>
      </c>
      <c r="H494" s="19" t="s">
        <v>44</v>
      </c>
      <c r="I494" s="19"/>
      <c r="J494" s="19"/>
      <c r="K494" s="19"/>
      <c r="L494" s="19" t="s">
        <v>48</v>
      </c>
      <c r="M494" s="19" t="s">
        <v>285</v>
      </c>
      <c r="N494" s="19" t="s">
        <v>735</v>
      </c>
      <c r="O494" s="19" t="s">
        <v>285</v>
      </c>
      <c r="P494" s="19" t="s">
        <v>642</v>
      </c>
      <c r="Q494" s="19" t="s">
        <v>2314</v>
      </c>
      <c r="R494" s="19" t="s">
        <v>2322</v>
      </c>
      <c r="S494" s="19"/>
      <c r="T494" s="19" t="s">
        <v>100</v>
      </c>
      <c r="U494" s="19" t="s">
        <v>192</v>
      </c>
      <c r="V494" s="19" t="s">
        <v>76</v>
      </c>
      <c r="W494" s="19" t="s">
        <v>77</v>
      </c>
      <c r="X494" s="19"/>
      <c r="Y494" s="19"/>
      <c r="Z494" s="19" t="s">
        <v>2325</v>
      </c>
      <c r="AA494" s="19">
        <v>1</v>
      </c>
      <c r="AB494" s="19">
        <v>1</v>
      </c>
      <c r="AC494" s="19" t="s">
        <v>60</v>
      </c>
      <c r="AD494" s="19" t="s">
        <v>642</v>
      </c>
      <c r="AE494" s="19" t="s">
        <v>2221</v>
      </c>
      <c r="AF494" s="19"/>
    </row>
    <row r="495" spans="1:34" customHeight="1" ht="42">
      <c r="A495" s="19">
        <v>486</v>
      </c>
      <c r="B495" s="19" t="s">
        <v>2298</v>
      </c>
      <c r="C495" s="19" t="s">
        <v>407</v>
      </c>
      <c r="D495" s="19" t="str">
        <f>HYPERLINK("http://www.henontech.com/fieldsafety/harzard/harzard_show.php?rid=12300&amp;url=harzardrecs.php","东二下料斗破损漏煤 晚上操作工巡查时 地上有煤粒脚下打滑摔倒造成右前臂骨折送医院治疗住院一个月在家修养92天")</f>
        <v>东二下料斗破损漏煤 晚上操作工巡查时 地上有煤粒脚下打滑摔倒造成右前臂骨折送医院治疗住院一个月在家修养92天</v>
      </c>
      <c r="E495" s="19" t="s">
        <v>2320</v>
      </c>
      <c r="F495" s="20" t="s">
        <v>42</v>
      </c>
      <c r="G495" s="21" t="s">
        <v>43</v>
      </c>
      <c r="H495" s="19" t="s">
        <v>44</v>
      </c>
      <c r="I495" s="19" t="s">
        <v>45</v>
      </c>
      <c r="J495" s="19"/>
      <c r="K495" s="19" t="s">
        <v>145</v>
      </c>
      <c r="L495" s="19" t="s">
        <v>48</v>
      </c>
      <c r="M495" s="19" t="s">
        <v>285</v>
      </c>
      <c r="N495" s="19" t="s">
        <v>2326</v>
      </c>
      <c r="O495" s="19" t="s">
        <v>285</v>
      </c>
      <c r="P495" s="19" t="s">
        <v>642</v>
      </c>
      <c r="Q495" s="19" t="s">
        <v>2314</v>
      </c>
      <c r="R495" s="19" t="s">
        <v>2327</v>
      </c>
      <c r="S495" s="19"/>
      <c r="T495" s="19" t="s">
        <v>54</v>
      </c>
      <c r="U495" s="19" t="s">
        <v>55</v>
      </c>
      <c r="V495" s="19" t="s">
        <v>101</v>
      </c>
      <c r="W495" s="19" t="s">
        <v>138</v>
      </c>
      <c r="X495" s="19"/>
      <c r="Y495" s="19"/>
      <c r="Z495" s="19" t="s">
        <v>2316</v>
      </c>
      <c r="AA495" s="19">
        <v>2</v>
      </c>
      <c r="AB495" s="19">
        <v>2</v>
      </c>
      <c r="AC495" s="19" t="s">
        <v>60</v>
      </c>
      <c r="AD495" s="19" t="s">
        <v>642</v>
      </c>
      <c r="AE495" s="19" t="s">
        <v>2221</v>
      </c>
      <c r="AF495" s="19"/>
    </row>
    <row r="496" spans="1:34" customHeight="1" ht="42">
      <c r="A496" s="19">
        <v>487</v>
      </c>
      <c r="B496" s="19" t="s">
        <v>2298</v>
      </c>
      <c r="C496" s="19" t="s">
        <v>407</v>
      </c>
      <c r="D496" s="19" t="str">
        <f>HYPERLINK("http://www.henontech.com/fieldsafety/harzard/harzard_show.php?rid=12301&amp;url=harzardrecs.php","东三篦子钢筋开焊 操作工经过时不慎踩到开焊处 右腿掉进篦子里 造成右小腿划伤 送医院治疗包扎 住院一星期 在家修养一个月")</f>
        <v>东三篦子钢筋开焊 操作工经过时不慎踩到开焊处 右腿掉进篦子里 造成右小腿划伤 送医院治疗包扎 住院一星期 在家修养一个月</v>
      </c>
      <c r="E496" s="19" t="s">
        <v>2328</v>
      </c>
      <c r="F496" s="20" t="s">
        <v>42</v>
      </c>
      <c r="G496" s="21" t="s">
        <v>43</v>
      </c>
      <c r="H496" s="19" t="s">
        <v>44</v>
      </c>
      <c r="I496" s="19" t="s">
        <v>45</v>
      </c>
      <c r="J496" s="19"/>
      <c r="K496" s="19" t="s">
        <v>47</v>
      </c>
      <c r="L496" s="19" t="s">
        <v>48</v>
      </c>
      <c r="M496" s="19" t="s">
        <v>285</v>
      </c>
      <c r="N496" s="19" t="s">
        <v>2329</v>
      </c>
      <c r="O496" s="19" t="s">
        <v>285</v>
      </c>
      <c r="P496" s="19" t="s">
        <v>642</v>
      </c>
      <c r="Q496" s="19" t="s">
        <v>2314</v>
      </c>
      <c r="R496" s="19" t="s">
        <v>701</v>
      </c>
      <c r="S496" s="19"/>
      <c r="T496" s="19" t="s">
        <v>54</v>
      </c>
      <c r="U496" s="19" t="s">
        <v>55</v>
      </c>
      <c r="V496" s="19" t="s">
        <v>101</v>
      </c>
      <c r="W496" s="19" t="s">
        <v>138</v>
      </c>
      <c r="X496" s="19"/>
      <c r="Y496" s="19"/>
      <c r="Z496" s="19" t="s">
        <v>2330</v>
      </c>
      <c r="AA496" s="19">
        <v>2</v>
      </c>
      <c r="AB496" s="19">
        <v>2</v>
      </c>
      <c r="AC496" s="19" t="s">
        <v>60</v>
      </c>
      <c r="AD496" s="19" t="s">
        <v>642</v>
      </c>
      <c r="AE496" s="19" t="s">
        <v>2221</v>
      </c>
      <c r="AF496" s="19"/>
    </row>
    <row r="497" spans="1:34" customHeight="1" ht="42">
      <c r="A497" s="19">
        <v>488</v>
      </c>
      <c r="B497" s="19" t="s">
        <v>2298</v>
      </c>
      <c r="C497" s="19" t="s">
        <v>229</v>
      </c>
      <c r="D497" s="19" t="str">
        <f>HYPERLINK("http://www.henontech.com/fieldsafety/harzard/harzard_show.php?rid=12303&amp;url=harzardrecs.php","焦炉交换系统焦侧开闭器辅助轮支架锈蚀严重，若断落致使燃烧系统无法正常工作，造成烟囱冒烟的环保事故公司通报。")</f>
        <v>焦炉交换系统焦侧开闭器辅助轮支架锈蚀严重，若断落致使燃烧系统无法正常工作，造成烟囱冒烟的环保事故公司通报。</v>
      </c>
      <c r="E497" s="19" t="s">
        <v>2331</v>
      </c>
      <c r="F497" s="20" t="s">
        <v>42</v>
      </c>
      <c r="G497" s="21" t="s">
        <v>43</v>
      </c>
      <c r="H497" s="19" t="s">
        <v>44</v>
      </c>
      <c r="I497" s="19" t="s">
        <v>67</v>
      </c>
      <c r="J497" s="19" t="s">
        <v>46</v>
      </c>
      <c r="K497" s="19" t="s">
        <v>47</v>
      </c>
      <c r="L497" s="19"/>
      <c r="M497" s="19" t="s">
        <v>117</v>
      </c>
      <c r="N497" s="19" t="s">
        <v>1679</v>
      </c>
      <c r="O497" s="19" t="s">
        <v>117</v>
      </c>
      <c r="P497" s="19" t="s">
        <v>233</v>
      </c>
      <c r="Q497" s="19" t="s">
        <v>2295</v>
      </c>
      <c r="R497" s="19" t="s">
        <v>2332</v>
      </c>
      <c r="S497" s="19"/>
      <c r="T497" s="19" t="s">
        <v>270</v>
      </c>
      <c r="U497" s="19" t="s">
        <v>75</v>
      </c>
      <c r="V497" s="19" t="s">
        <v>56</v>
      </c>
      <c r="W497" s="19" t="s">
        <v>138</v>
      </c>
      <c r="X497" s="19"/>
      <c r="Y497" s="19" t="s">
        <v>123</v>
      </c>
      <c r="Z497" s="19" t="s">
        <v>2333</v>
      </c>
      <c r="AA497" s="19">
        <v>2</v>
      </c>
      <c r="AB497" s="19">
        <v>2</v>
      </c>
      <c r="AC497" s="19" t="s">
        <v>60</v>
      </c>
      <c r="AD497" s="19" t="s">
        <v>233</v>
      </c>
      <c r="AE497" s="19" t="s">
        <v>2171</v>
      </c>
      <c r="AF497" s="19" t="s">
        <v>2334</v>
      </c>
    </row>
    <row r="498" spans="1:34">
      <c r="A498" s="19">
        <v>489</v>
      </c>
      <c r="B498" s="19" t="s">
        <v>2298</v>
      </c>
      <c r="C498" s="19" t="s">
        <v>278</v>
      </c>
      <c r="D498" s="19" t="str">
        <f>HYPERLINK("http://www.henontech.com/fieldsafety/harzard/harzard_show.php?rid=12312&amp;url=harzardrecs.php","一名操作人员在操作时，雨后漏雨漏电击伤，由于无护罩雨水渗入被电击伤，造成手部被电击伤，去医务室包扎处理，无损工发生，正常上班。")</f>
        <v>一名操作人员在操作时，雨后漏雨漏电击伤，由于无护罩雨水渗入被电击伤，造成手部被电击伤，去医务室包扎处理，无损工发生，正常上班。</v>
      </c>
      <c r="E498" s="19" t="s">
        <v>2335</v>
      </c>
      <c r="F498" s="20" t="s">
        <v>42</v>
      </c>
      <c r="G498" s="21" t="s">
        <v>43</v>
      </c>
      <c r="H498" s="19" t="s">
        <v>875</v>
      </c>
      <c r="I498" s="19" t="s">
        <v>83</v>
      </c>
      <c r="J498" s="19" t="s">
        <v>202</v>
      </c>
      <c r="K498" s="19" t="s">
        <v>145</v>
      </c>
      <c r="L498" s="19" t="s">
        <v>48</v>
      </c>
      <c r="M498" s="19" t="s">
        <v>49</v>
      </c>
      <c r="N498" s="19" t="s">
        <v>2336</v>
      </c>
      <c r="O498" s="19" t="s">
        <v>49</v>
      </c>
      <c r="P498" s="19" t="s">
        <v>523</v>
      </c>
      <c r="Q498" s="19" t="s">
        <v>2295</v>
      </c>
      <c r="R498" s="19" t="s">
        <v>2337</v>
      </c>
      <c r="S498" s="19"/>
      <c r="T498" s="19" t="s">
        <v>54</v>
      </c>
      <c r="U498" s="19" t="s">
        <v>75</v>
      </c>
      <c r="V498" s="19" t="s">
        <v>271</v>
      </c>
      <c r="W498" s="19" t="s">
        <v>57</v>
      </c>
      <c r="X498" s="19" t="s">
        <v>58</v>
      </c>
      <c r="Y498" s="19" t="s">
        <v>58</v>
      </c>
      <c r="Z498" s="19" t="s">
        <v>2338</v>
      </c>
      <c r="AA498" s="19">
        <v>1</v>
      </c>
      <c r="AB498" s="19">
        <v>1</v>
      </c>
      <c r="AC498" s="19" t="s">
        <v>60</v>
      </c>
      <c r="AD498" s="19" t="s">
        <v>523</v>
      </c>
      <c r="AE498" s="19" t="s">
        <v>1876</v>
      </c>
      <c r="AF498" s="19"/>
    </row>
    <row r="499" spans="1:34">
      <c r="A499" s="19">
        <v>490</v>
      </c>
      <c r="B499" s="19" t="s">
        <v>2298</v>
      </c>
      <c r="C499" s="19" t="s">
        <v>284</v>
      </c>
      <c r="D499" s="19" t="str">
        <f>HYPERLINK("http://www.henontech.com/fieldsafety/harzard/harzard_show.php?rid=12326&amp;url=harzardrecs.php","西五胶带接头破损，如果继续使用，会使创面扩大，造成胶带断裂，非正常停车抢修，经济损失2000元。")</f>
        <v>西五胶带接头破损，如果继续使用，会使创面扩大，造成胶带断裂，非正常停车抢修，经济损失2000元。</v>
      </c>
      <c r="E499" s="19" t="s">
        <v>2339</v>
      </c>
      <c r="F499" s="20" t="s">
        <v>42</v>
      </c>
      <c r="G499" s="21" t="s">
        <v>43</v>
      </c>
      <c r="H499" s="19" t="s">
        <v>44</v>
      </c>
      <c r="I499" s="19" t="s">
        <v>67</v>
      </c>
      <c r="J499" s="19" t="s">
        <v>46</v>
      </c>
      <c r="K499" s="19" t="s">
        <v>47</v>
      </c>
      <c r="L499" s="19" t="s">
        <v>573</v>
      </c>
      <c r="M499" s="19" t="s">
        <v>285</v>
      </c>
      <c r="N499" s="19" t="s">
        <v>2340</v>
      </c>
      <c r="O499" s="19" t="s">
        <v>285</v>
      </c>
      <c r="P499" s="19" t="s">
        <v>419</v>
      </c>
      <c r="Q499" s="19" t="s">
        <v>2221</v>
      </c>
      <c r="R499" s="19" t="s">
        <v>2243</v>
      </c>
      <c r="S499" s="19"/>
      <c r="T499" s="19" t="s">
        <v>100</v>
      </c>
      <c r="U499" s="19" t="s">
        <v>192</v>
      </c>
      <c r="V499" s="19" t="s">
        <v>56</v>
      </c>
      <c r="W499" s="19" t="s">
        <v>77</v>
      </c>
      <c r="X499" s="19"/>
      <c r="Y499" s="19"/>
      <c r="Z499" s="19" t="s">
        <v>2223</v>
      </c>
      <c r="AA499" s="19">
        <v>1</v>
      </c>
      <c r="AB499" s="19">
        <v>1</v>
      </c>
      <c r="AC499" s="19" t="s">
        <v>60</v>
      </c>
      <c r="AD499" s="19" t="s">
        <v>419</v>
      </c>
      <c r="AE499" s="19" t="s">
        <v>2221</v>
      </c>
      <c r="AF499" s="19"/>
    </row>
    <row r="500" spans="1:34">
      <c r="A500" s="19">
        <v>491</v>
      </c>
      <c r="B500" s="19" t="s">
        <v>2298</v>
      </c>
      <c r="C500" s="19" t="s">
        <v>2341</v>
      </c>
      <c r="D500" s="19" t="str">
        <f>HYPERLINK("http://www.henontech.com/fieldsafety/harzard/harzard_show.php?rid=12328&amp;url=harzardrecs.php","氨水储槽进料管有漏点，若未及时处置，大量浓氨水泄漏，造成储槽现场水体氨氮超标，蒸氨装置停车检修堵漏一小时。")</f>
        <v>氨水储槽进料管有漏点，若未及时处置，大量浓氨水泄漏，造成储槽现场水体氨氮超标，蒸氨装置停车检修堵漏一小时。</v>
      </c>
      <c r="E500" s="19" t="s">
        <v>2342</v>
      </c>
      <c r="F500" s="20" t="s">
        <v>42</v>
      </c>
      <c r="G500" s="21" t="s">
        <v>43</v>
      </c>
      <c r="H500" s="19" t="s">
        <v>44</v>
      </c>
      <c r="I500" s="19" t="s">
        <v>67</v>
      </c>
      <c r="J500" s="19" t="s">
        <v>46</v>
      </c>
      <c r="K500" s="19" t="s">
        <v>47</v>
      </c>
      <c r="L500" s="19" t="s">
        <v>48</v>
      </c>
      <c r="M500" s="19" t="s">
        <v>70</v>
      </c>
      <c r="N500" s="19" t="s">
        <v>956</v>
      </c>
      <c r="O500" s="19" t="s">
        <v>70</v>
      </c>
      <c r="P500" s="19" t="s">
        <v>72</v>
      </c>
      <c r="Q500" s="19" t="s">
        <v>1322</v>
      </c>
      <c r="R500" s="19" t="s">
        <v>2343</v>
      </c>
      <c r="S500" s="19"/>
      <c r="T500" s="19" t="s">
        <v>270</v>
      </c>
      <c r="U500" s="19" t="s">
        <v>192</v>
      </c>
      <c r="V500" s="19" t="s">
        <v>56</v>
      </c>
      <c r="W500" s="19" t="s">
        <v>77</v>
      </c>
      <c r="X500" s="19"/>
      <c r="Y500" s="19"/>
      <c r="Z500" s="19" t="s">
        <v>2344</v>
      </c>
      <c r="AA500" s="19">
        <v>1</v>
      </c>
      <c r="AB500" s="19">
        <v>1</v>
      </c>
      <c r="AC500" s="19" t="s">
        <v>60</v>
      </c>
      <c r="AD500" s="19" t="s">
        <v>72</v>
      </c>
      <c r="AE500" s="19" t="s">
        <v>2171</v>
      </c>
      <c r="AF500" s="19"/>
    </row>
    <row r="501" spans="1:34" customHeight="1" ht="42">
      <c r="A501" s="19">
        <v>492</v>
      </c>
      <c r="B501" s="19" t="s">
        <v>2298</v>
      </c>
      <c r="C501" s="19" t="s">
        <v>2248</v>
      </c>
      <c r="D501" s="19" t="str">
        <f>HYPERLINK("http://www.henontech.com/fieldsafety/harzard/harzard_show.php?rid=12329&amp;url=harzardrecs.php","氨水阀门离地3米没设爬梯")</f>
        <v>氨水阀门离地3米没设爬梯</v>
      </c>
      <c r="E501" s="19" t="s">
        <v>2345</v>
      </c>
      <c r="F501" s="20" t="s">
        <v>42</v>
      </c>
      <c r="G501" s="22" t="s">
        <v>66</v>
      </c>
      <c r="H501" s="19" t="s">
        <v>44</v>
      </c>
      <c r="I501" s="19" t="s">
        <v>67</v>
      </c>
      <c r="J501" s="19" t="s">
        <v>68</v>
      </c>
      <c r="K501" s="19" t="s">
        <v>166</v>
      </c>
      <c r="L501" s="19" t="s">
        <v>48</v>
      </c>
      <c r="M501" s="19" t="s">
        <v>117</v>
      </c>
      <c r="N501" s="19" t="s">
        <v>2250</v>
      </c>
      <c r="O501" s="19" t="s">
        <v>117</v>
      </c>
      <c r="P501" s="19" t="s">
        <v>636</v>
      </c>
      <c r="Q501" s="19" t="s">
        <v>2346</v>
      </c>
      <c r="R501" s="19" t="s">
        <v>2347</v>
      </c>
      <c r="S501" s="19" t="s">
        <v>2348</v>
      </c>
      <c r="T501" s="19" t="s">
        <v>54</v>
      </c>
      <c r="U501" s="19" t="s">
        <v>55</v>
      </c>
      <c r="V501" s="19" t="s">
        <v>271</v>
      </c>
      <c r="W501" s="19" t="s">
        <v>122</v>
      </c>
      <c r="X501" s="19" t="s">
        <v>123</v>
      </c>
      <c r="Y501" s="19"/>
      <c r="Z501" s="19" t="s">
        <v>2349</v>
      </c>
      <c r="AA501" s="19">
        <v>2</v>
      </c>
      <c r="AB501" s="19">
        <v>1</v>
      </c>
      <c r="AC501" s="19" t="s">
        <v>60</v>
      </c>
      <c r="AD501" s="19" t="s">
        <v>636</v>
      </c>
      <c r="AE501" s="19" t="s">
        <v>2310</v>
      </c>
      <c r="AF501" s="19" t="s">
        <v>2350</v>
      </c>
    </row>
    <row r="502" spans="1:34" customHeight="1" ht="42">
      <c r="A502" s="19">
        <v>493</v>
      </c>
      <c r="B502" s="19" t="s">
        <v>2298</v>
      </c>
      <c r="C502" s="19" t="s">
        <v>1735</v>
      </c>
      <c r="D502" s="19" t="str">
        <f>HYPERLINK("http://www.henontech.com/fieldsafety/harzard/harzard_show.php?rid=12331&amp;url=harzardrecs.php","5.5米熄焦塔高十五米，一员工在地面清理卫生时，塔内砖块因松动坠落，砸中员工肩部，造成肩胛骨粉碎性骨折，送医院急诊手术治疗，休养一年后复工。")</f>
        <v>5.5米熄焦塔高十五米，一员工在地面清理卫生时，塔内砖块因松动坠落，砸中员工肩部，造成肩胛骨粉碎性骨折，送医院急诊手术治疗，休养一年后复工。</v>
      </c>
      <c r="E502" s="19" t="s">
        <v>2351</v>
      </c>
      <c r="F502" s="20" t="s">
        <v>42</v>
      </c>
      <c r="G502" s="22" t="s">
        <v>66</v>
      </c>
      <c r="H502" s="19" t="s">
        <v>44</v>
      </c>
      <c r="I502" s="19" t="s">
        <v>67</v>
      </c>
      <c r="J502" s="19" t="s">
        <v>46</v>
      </c>
      <c r="K502" s="19" t="s">
        <v>69</v>
      </c>
      <c r="L502" s="19" t="s">
        <v>48</v>
      </c>
      <c r="M502" s="19" t="s">
        <v>117</v>
      </c>
      <c r="N502" s="19" t="s">
        <v>2352</v>
      </c>
      <c r="O502" s="19" t="s">
        <v>117</v>
      </c>
      <c r="P502" s="19" t="s">
        <v>636</v>
      </c>
      <c r="Q502" s="19" t="s">
        <v>2353</v>
      </c>
      <c r="R502" s="19" t="s">
        <v>2354</v>
      </c>
      <c r="S502" s="19"/>
      <c r="T502" s="19" t="s">
        <v>54</v>
      </c>
      <c r="U502" s="19" t="s">
        <v>55</v>
      </c>
      <c r="V502" s="19" t="s">
        <v>56</v>
      </c>
      <c r="W502" s="19" t="s">
        <v>57</v>
      </c>
      <c r="X502" s="19" t="s">
        <v>123</v>
      </c>
      <c r="Y502" s="19"/>
      <c r="Z502" s="19" t="s">
        <v>2355</v>
      </c>
      <c r="AA502" s="19">
        <v>2</v>
      </c>
      <c r="AB502" s="19">
        <v>1</v>
      </c>
      <c r="AC502" s="19" t="s">
        <v>60</v>
      </c>
      <c r="AD502" s="19" t="s">
        <v>636</v>
      </c>
      <c r="AE502" s="19" t="s">
        <v>1080</v>
      </c>
      <c r="AF502" s="19" t="s">
        <v>2356</v>
      </c>
    </row>
    <row r="503" spans="1:34">
      <c r="A503" s="19">
        <v>494</v>
      </c>
      <c r="B503" s="19" t="s">
        <v>2298</v>
      </c>
      <c r="C503" s="19" t="s">
        <v>2256</v>
      </c>
      <c r="D503" s="19" t="str">
        <f>HYPERLINK("http://www.henontech.com/fieldsafety/harzard/harzard_show.php?rid=12335&amp;url=harzardrecs.php","扒焦器减速机护罩变形，减速机与电机连接的传动带裸露在外，一操作工在清理减速机卫生时，手部被卷入传动轴，停机处理后送医治疗")</f>
        <v>扒焦器减速机护罩变形，减速机与电机连接的传动带裸露在外，一操作工在清理减速机卫生时，手部被卷入传动轴，停机处理后送医治疗</v>
      </c>
      <c r="E503" s="19" t="s">
        <v>2357</v>
      </c>
      <c r="F503" s="20" t="s">
        <v>42</v>
      </c>
      <c r="G503" s="21" t="s">
        <v>43</v>
      </c>
      <c r="H503" s="19" t="s">
        <v>44</v>
      </c>
      <c r="I503" s="19" t="s">
        <v>67</v>
      </c>
      <c r="J503" s="19" t="s">
        <v>68</v>
      </c>
      <c r="K503" s="19" t="s">
        <v>47</v>
      </c>
      <c r="L503" s="19"/>
      <c r="M503" s="19" t="s">
        <v>117</v>
      </c>
      <c r="N503" s="19" t="s">
        <v>1440</v>
      </c>
      <c r="O503" s="19" t="s">
        <v>117</v>
      </c>
      <c r="P503" s="19" t="s">
        <v>224</v>
      </c>
      <c r="Q503" s="19" t="s">
        <v>2346</v>
      </c>
      <c r="R503" s="19" t="s">
        <v>2258</v>
      </c>
      <c r="S503" s="19" t="s">
        <v>2358</v>
      </c>
      <c r="T503" s="19" t="s">
        <v>54</v>
      </c>
      <c r="U503" s="19" t="s">
        <v>75</v>
      </c>
      <c r="V503" s="19" t="s">
        <v>101</v>
      </c>
      <c r="W503" s="19" t="s">
        <v>77</v>
      </c>
      <c r="X503" s="19" t="s">
        <v>58</v>
      </c>
      <c r="Y503" s="19"/>
      <c r="Z503" s="19" t="s">
        <v>2359</v>
      </c>
      <c r="AA503" s="19">
        <v>2</v>
      </c>
      <c r="AB503" s="19">
        <v>2</v>
      </c>
      <c r="AC503" s="19" t="s">
        <v>60</v>
      </c>
      <c r="AD503" s="19" t="s">
        <v>224</v>
      </c>
      <c r="AE503" s="19" t="s">
        <v>1074</v>
      </c>
      <c r="AF503" s="19"/>
    </row>
    <row r="504" spans="1:34">
      <c r="A504" s="19"/>
      <c r="B504" s="19"/>
      <c r="C504" s="19"/>
      <c r="D504" s="19" t="str">
        <f>HYPERLINK("http://www.henontech.com/fieldsafety/harzard/harzard_show.php?rid=12335&amp;url=harzardrecs.php","扒焦器减速机护罩变形，减速机与电机连接的传动带裸露在外，一操作工在清理减速机卫生时，手部被卷入传动轴，停机处理后送医治疗")</f>
        <v>扒焦器减速机护罩变形，减速机与电机连接的传动带裸露在外，一操作工在清理减速机卫生时，手部被卷入传动轴，停机处理后送医治疗</v>
      </c>
      <c r="E504" s="19" t="s">
        <v>2360</v>
      </c>
      <c r="F504" s="19"/>
      <c r="G504" s="19"/>
      <c r="H504" s="19"/>
      <c r="I504" s="19" t="s">
        <v>67</v>
      </c>
      <c r="J504" s="19" t="s">
        <v>68</v>
      </c>
      <c r="K504" s="19" t="s">
        <v>47</v>
      </c>
      <c r="L504" s="19" t="s">
        <v>48</v>
      </c>
      <c r="M504" s="19"/>
      <c r="N504" s="19"/>
      <c r="O504" s="19"/>
      <c r="P504" s="19"/>
      <c r="Q504" s="19"/>
      <c r="R504" s="19"/>
      <c r="S504" s="19"/>
      <c r="T504" s="19" t="s">
        <v>54</v>
      </c>
      <c r="U504" s="19" t="s">
        <v>75</v>
      </c>
      <c r="V504" s="19" t="s">
        <v>101</v>
      </c>
      <c r="W504" s="19" t="s">
        <v>77</v>
      </c>
      <c r="X504" s="19"/>
      <c r="Y504" s="19"/>
      <c r="Z504" s="19"/>
      <c r="AA504" s="19"/>
      <c r="AB504" s="19"/>
      <c r="AC504" s="19"/>
      <c r="AD504" s="19"/>
      <c r="AE504" s="19"/>
      <c r="AF504" s="19"/>
    </row>
    <row r="505" spans="1:34">
      <c r="A505" s="19">
        <v>495</v>
      </c>
      <c r="B505" s="19" t="s">
        <v>2298</v>
      </c>
      <c r="C505" s="19" t="s">
        <v>706</v>
      </c>
      <c r="D505" s="19" t="str">
        <f>HYPERLINK("http://www.henontech.com/fieldsafety/harzard/harzard_show.php?rid=12336&amp;url=harzardrecs.php","粗苯贫油冷却器处更换下来的阀门未按照要求及时清理，假如夜间视线不良，一名操作工到此处巡检有可能会被此阀门绊倒，脸部碰到围堰上面，造成鼻梁骨骨折，损工3个月")</f>
        <v>粗苯贫油冷却器处更换下来的阀门未按照要求及时清理，假如夜间视线不良，一名操作工到此处巡检有可能会被此阀门绊倒，脸部碰到围堰上面，造成鼻梁骨骨折，损工3个月</v>
      </c>
      <c r="E505" s="19" t="s">
        <v>2361</v>
      </c>
      <c r="F505" s="20" t="s">
        <v>42</v>
      </c>
      <c r="G505" s="21" t="s">
        <v>43</v>
      </c>
      <c r="H505" s="19" t="s">
        <v>44</v>
      </c>
      <c r="I505" s="19" t="s">
        <v>45</v>
      </c>
      <c r="J505" s="19" t="s">
        <v>68</v>
      </c>
      <c r="K505" s="19" t="s">
        <v>47</v>
      </c>
      <c r="L505" s="19" t="s">
        <v>48</v>
      </c>
      <c r="M505" s="19" t="s">
        <v>70</v>
      </c>
      <c r="N505" s="19" t="s">
        <v>884</v>
      </c>
      <c r="O505" s="19" t="s">
        <v>70</v>
      </c>
      <c r="P505" s="19" t="s">
        <v>72</v>
      </c>
      <c r="Q505" s="19" t="s">
        <v>1322</v>
      </c>
      <c r="R505" s="19" t="s">
        <v>2362</v>
      </c>
      <c r="S505" s="19"/>
      <c r="T505" s="19" t="s">
        <v>54</v>
      </c>
      <c r="U505" s="19" t="s">
        <v>55</v>
      </c>
      <c r="V505" s="19" t="s">
        <v>101</v>
      </c>
      <c r="W505" s="19" t="s">
        <v>138</v>
      </c>
      <c r="X505" s="19"/>
      <c r="Y505" s="19"/>
      <c r="Z505" s="19" t="s">
        <v>2363</v>
      </c>
      <c r="AA505" s="19">
        <v>1</v>
      </c>
      <c r="AB505" s="19">
        <v>1</v>
      </c>
      <c r="AC505" s="19" t="s">
        <v>60</v>
      </c>
      <c r="AD505" s="19" t="s">
        <v>72</v>
      </c>
      <c r="AE505" s="19" t="s">
        <v>2171</v>
      </c>
      <c r="AF505" s="19"/>
    </row>
    <row r="506" spans="1:34" customHeight="1" ht="42">
      <c r="A506" s="19">
        <v>496</v>
      </c>
      <c r="B506" s="19" t="s">
        <v>1859</v>
      </c>
      <c r="C506" s="19" t="s">
        <v>485</v>
      </c>
      <c r="D506" s="19" t="str">
        <f>HYPERLINK("http://www.henontech.com/fieldsafety/harzard/harzard_show.php?rid=12360&amp;url=harzardrecs.php","炉顶防晒棚直流扇开关缺失防护盖，如果淋雨连电，恰巧一名职工在此避雨触电，经医抢救无效死亡。")</f>
        <v>炉顶防晒棚直流扇开关缺失防护盖，如果淋雨连电，恰巧一名职工在此避雨触电，经医抢救无效死亡。</v>
      </c>
      <c r="E506" s="19" t="s">
        <v>2364</v>
      </c>
      <c r="F506" s="20" t="s">
        <v>42</v>
      </c>
      <c r="G506" s="22" t="s">
        <v>66</v>
      </c>
      <c r="H506" s="19" t="s">
        <v>44</v>
      </c>
      <c r="I506" s="19" t="s">
        <v>67</v>
      </c>
      <c r="J506" s="19" t="s">
        <v>68</v>
      </c>
      <c r="K506" s="19" t="s">
        <v>69</v>
      </c>
      <c r="L506" s="19" t="s">
        <v>48</v>
      </c>
      <c r="M506" s="19" t="s">
        <v>117</v>
      </c>
      <c r="N506" s="19" t="s">
        <v>1077</v>
      </c>
      <c r="O506" s="19" t="s">
        <v>117</v>
      </c>
      <c r="P506" s="19" t="s">
        <v>224</v>
      </c>
      <c r="Q506" s="19" t="s">
        <v>2353</v>
      </c>
      <c r="R506" s="19" t="s">
        <v>1236</v>
      </c>
      <c r="S506" s="19"/>
      <c r="T506" s="19" t="s">
        <v>54</v>
      </c>
      <c r="U506" s="19" t="s">
        <v>121</v>
      </c>
      <c r="V506" s="19" t="s">
        <v>56</v>
      </c>
      <c r="W506" s="19" t="s">
        <v>122</v>
      </c>
      <c r="X506" s="19" t="s">
        <v>58</v>
      </c>
      <c r="Y506" s="19"/>
      <c r="Z506" s="19" t="s">
        <v>2365</v>
      </c>
      <c r="AA506" s="19">
        <v>2</v>
      </c>
      <c r="AB506" s="19">
        <v>2</v>
      </c>
      <c r="AC506" s="19" t="s">
        <v>60</v>
      </c>
      <c r="AD506" s="19" t="s">
        <v>224</v>
      </c>
      <c r="AE506" s="19" t="s">
        <v>1074</v>
      </c>
      <c r="AF506" s="19"/>
    </row>
    <row r="507" spans="1:34">
      <c r="A507" s="19">
        <v>497</v>
      </c>
      <c r="B507" s="19" t="s">
        <v>1859</v>
      </c>
      <c r="C507" s="19" t="s">
        <v>1111</v>
      </c>
      <c r="D507" s="19" t="str">
        <f>HYPERLINK("http://www.henontech.com/fieldsafety/harzard/harzard_show.php?rid=12383&amp;url=harzardrecs.php","西硫铵工段硫铵库房东管架消防水管道保温铝皮脱落，如果在大风天气人员从此经过可能被掉落的铝皮轻微划伤脸部，简单包扎后能正常工作")</f>
        <v>西硫铵工段硫铵库房东管架消防水管道保温铝皮脱落，如果在大风天气人员从此经过可能被掉落的铝皮轻微划伤脸部，简单包扎后能正常工作</v>
      </c>
      <c r="E507" s="19" t="s">
        <v>2366</v>
      </c>
      <c r="F507" s="20" t="s">
        <v>42</v>
      </c>
      <c r="G507" s="21" t="s">
        <v>43</v>
      </c>
      <c r="H507" s="19" t="s">
        <v>44</v>
      </c>
      <c r="I507" s="19" t="s">
        <v>45</v>
      </c>
      <c r="J507" s="19" t="s">
        <v>46</v>
      </c>
      <c r="K507" s="19" t="s">
        <v>69</v>
      </c>
      <c r="L507" s="19" t="s">
        <v>48</v>
      </c>
      <c r="M507" s="19" t="s">
        <v>70</v>
      </c>
      <c r="N507" s="19" t="s">
        <v>2367</v>
      </c>
      <c r="O507" s="19" t="s">
        <v>70</v>
      </c>
      <c r="P507" s="19" t="s">
        <v>72</v>
      </c>
      <c r="Q507" s="19" t="s">
        <v>1322</v>
      </c>
      <c r="R507" s="19" t="s">
        <v>2368</v>
      </c>
      <c r="S507" s="19"/>
      <c r="T507" s="19" t="s">
        <v>54</v>
      </c>
      <c r="U507" s="19" t="s">
        <v>75</v>
      </c>
      <c r="V507" s="19" t="s">
        <v>101</v>
      </c>
      <c r="W507" s="19" t="s">
        <v>77</v>
      </c>
      <c r="X507" s="19"/>
      <c r="Y507" s="19"/>
      <c r="Z507" s="19" t="s">
        <v>2369</v>
      </c>
      <c r="AA507" s="19">
        <v>1</v>
      </c>
      <c r="AB507" s="19">
        <v>1</v>
      </c>
      <c r="AC507" s="19" t="s">
        <v>60</v>
      </c>
      <c r="AD507" s="19" t="s">
        <v>72</v>
      </c>
      <c r="AE507" s="19" t="s">
        <v>2177</v>
      </c>
      <c r="AF507" s="19"/>
    </row>
    <row r="508" spans="1:34">
      <c r="A508" s="19">
        <v>498</v>
      </c>
      <c r="B508" s="19" t="s">
        <v>1859</v>
      </c>
      <c r="C508" s="19" t="s">
        <v>2005</v>
      </c>
      <c r="D508" s="19" t="str">
        <f>HYPERLINK("http://www.henontech.com/fieldsafety/harzard/harzard_show.php?rid=12385&amp;url=harzardrecs.php","拖把卷入皮带中，造成皮带划伤，经专业人士维修，财产损失")</f>
        <v>拖把卷入皮带中，造成皮带划伤，经专业人士维修，财产损失</v>
      </c>
      <c r="E508" s="19" t="s">
        <v>2370</v>
      </c>
      <c r="F508" s="20" t="s">
        <v>42</v>
      </c>
      <c r="G508" s="21" t="s">
        <v>43</v>
      </c>
      <c r="H508" s="19" t="s">
        <v>44</v>
      </c>
      <c r="I508" s="19" t="s">
        <v>83</v>
      </c>
      <c r="J508" s="19" t="s">
        <v>401</v>
      </c>
      <c r="K508" s="19"/>
      <c r="L508" s="19"/>
      <c r="M508" s="19" t="s">
        <v>285</v>
      </c>
      <c r="N508" s="19" t="s">
        <v>2371</v>
      </c>
      <c r="O508" s="19" t="s">
        <v>285</v>
      </c>
      <c r="P508" s="19" t="s">
        <v>410</v>
      </c>
      <c r="Q508" s="19" t="s">
        <v>2353</v>
      </c>
      <c r="R508" s="19" t="s">
        <v>2372</v>
      </c>
      <c r="S508" s="19"/>
      <c r="T508" s="19" t="s">
        <v>100</v>
      </c>
      <c r="U508" s="19" t="s">
        <v>192</v>
      </c>
      <c r="V508" s="19" t="s">
        <v>56</v>
      </c>
      <c r="W508" s="19" t="s">
        <v>77</v>
      </c>
      <c r="X508" s="19"/>
      <c r="Y508" s="19"/>
      <c r="Z508" s="19" t="s">
        <v>2373</v>
      </c>
      <c r="AA508" s="19">
        <v>1</v>
      </c>
      <c r="AB508" s="19">
        <v>1</v>
      </c>
      <c r="AC508" s="19" t="s">
        <v>60</v>
      </c>
      <c r="AD508" s="19" t="s">
        <v>410</v>
      </c>
      <c r="AE508" s="19" t="s">
        <v>1876</v>
      </c>
      <c r="AF508" s="19"/>
    </row>
    <row r="509" spans="1:34" customHeight="1" ht="42">
      <c r="A509" s="19">
        <v>499</v>
      </c>
      <c r="B509" s="19" t="s">
        <v>1859</v>
      </c>
      <c r="C509" s="19" t="s">
        <v>2374</v>
      </c>
      <c r="D509" s="19" t="str">
        <f>HYPERLINK("http://www.henontech.com/fieldsafety/harzard/harzard_show.php?rid=12404&amp;url=harzardrecs.php","输煤1号皮带楼梯处电源开关盒盖缺失，一名操作工上煤时巡检到此处，由于楼梯狭窄，光线不够充足，马虎大意，肩膀不慎碰到配电盒，索性反应迅速，没有被电到。")</f>
        <v>输煤1号皮带楼梯处电源开关盒盖缺失，一名操作工上煤时巡检到此处，由于楼梯狭窄，光线不够充足，马虎大意，肩膀不慎碰到配电盒，索性反应迅速，没有被电到。</v>
      </c>
      <c r="E509" s="19" t="s">
        <v>2375</v>
      </c>
      <c r="F509" s="25" t="s">
        <v>1853</v>
      </c>
      <c r="G509" s="21" t="s">
        <v>43</v>
      </c>
      <c r="H509" s="19" t="s">
        <v>44</v>
      </c>
      <c r="I509" s="19" t="s">
        <v>45</v>
      </c>
      <c r="J509" s="19" t="s">
        <v>46</v>
      </c>
      <c r="K509" s="19" t="s">
        <v>145</v>
      </c>
      <c r="L509" s="19" t="s">
        <v>48</v>
      </c>
      <c r="M509" s="19" t="s">
        <v>84</v>
      </c>
      <c r="N509" s="19" t="s">
        <v>2376</v>
      </c>
      <c r="O509" s="19" t="s">
        <v>84</v>
      </c>
      <c r="P509" s="19" t="s">
        <v>809</v>
      </c>
      <c r="Q509" s="19" t="s">
        <v>2132</v>
      </c>
      <c r="R509" s="19" t="s">
        <v>2377</v>
      </c>
      <c r="S509" s="19"/>
      <c r="T509" s="19" t="s">
        <v>54</v>
      </c>
      <c r="U509" s="19" t="s">
        <v>192</v>
      </c>
      <c r="V509" s="19" t="s">
        <v>56</v>
      </c>
      <c r="W509" s="19" t="s">
        <v>77</v>
      </c>
      <c r="X509" s="19" t="s">
        <v>58</v>
      </c>
      <c r="Y509" s="19"/>
      <c r="Z509" s="19" t="s">
        <v>2378</v>
      </c>
      <c r="AA509" s="19">
        <v>2</v>
      </c>
      <c r="AB509" s="19"/>
      <c r="AC509" s="19" t="s">
        <v>392</v>
      </c>
      <c r="AD509" s="19"/>
      <c r="AE509" s="19"/>
      <c r="AF509" s="19"/>
    </row>
    <row r="510" spans="1:34">
      <c r="A510" s="19">
        <v>500</v>
      </c>
      <c r="B510" s="19" t="s">
        <v>1859</v>
      </c>
      <c r="C510" s="19" t="s">
        <v>1111</v>
      </c>
      <c r="D510" s="19" t="str">
        <f>HYPERLINK("http://www.henontech.com/fieldsafety/harzard/harzard_show.php?rid=12413&amp;url=harzardrecs.php","西硫酸铵皮带机电源座接触不良发热，一外包装卸工在装卸硫酸铵时，不慎接触，造成皮带机电源跳闸、手部触电，短暂休息继续工作，无损工。")</f>
        <v>西硫酸铵皮带机电源座接触不良发热，一外包装卸工在装卸硫酸铵时，不慎接触，造成皮带机电源跳闸、手部触电，短暂休息继续工作，无损工。</v>
      </c>
      <c r="E510" s="19" t="s">
        <v>2379</v>
      </c>
      <c r="F510" s="20" t="s">
        <v>42</v>
      </c>
      <c r="G510" s="21" t="s">
        <v>43</v>
      </c>
      <c r="H510" s="19" t="s">
        <v>44</v>
      </c>
      <c r="I510" s="19" t="s">
        <v>83</v>
      </c>
      <c r="J510" s="19" t="s">
        <v>46</v>
      </c>
      <c r="K510" s="19" t="s">
        <v>69</v>
      </c>
      <c r="L510" s="19" t="s">
        <v>48</v>
      </c>
      <c r="M510" s="19" t="s">
        <v>70</v>
      </c>
      <c r="N510" s="19" t="s">
        <v>2380</v>
      </c>
      <c r="O510" s="19" t="s">
        <v>70</v>
      </c>
      <c r="P510" s="19" t="s">
        <v>72</v>
      </c>
      <c r="Q510" s="19" t="s">
        <v>1322</v>
      </c>
      <c r="R510" s="19" t="s">
        <v>2381</v>
      </c>
      <c r="S510" s="19"/>
      <c r="T510" s="19" t="s">
        <v>54</v>
      </c>
      <c r="U510" s="19" t="s">
        <v>75</v>
      </c>
      <c r="V510" s="19" t="s">
        <v>271</v>
      </c>
      <c r="W510" s="19" t="s">
        <v>57</v>
      </c>
      <c r="X510" s="19"/>
      <c r="Y510" s="19"/>
      <c r="Z510" s="19" t="s">
        <v>2382</v>
      </c>
      <c r="AA510" s="19">
        <v>1</v>
      </c>
      <c r="AB510" s="19">
        <v>1</v>
      </c>
      <c r="AC510" s="19" t="s">
        <v>60</v>
      </c>
      <c r="AD510" s="19" t="s">
        <v>72</v>
      </c>
      <c r="AE510" s="19" t="s">
        <v>2171</v>
      </c>
      <c r="AF510" s="19"/>
    </row>
    <row r="511" spans="1:34">
      <c r="A511" s="19">
        <v>501</v>
      </c>
      <c r="B511" s="19" t="s">
        <v>1859</v>
      </c>
      <c r="C511" s="19" t="s">
        <v>407</v>
      </c>
      <c r="D511" s="19" t="str">
        <f>HYPERLINK("http://www.henontech.com/fieldsafety/harzard/harzard_show.php?rid=12442&amp;url=harzardrecs.php","东五过道未设警示牌，一职工途经时，头部不慎蹭到上方铁板，致轻微擦伤，到医务室敷药后继续上岗作业。")</f>
        <v>东五过道未设警示牌，一职工途经时，头部不慎蹭到上方铁板，致轻微擦伤，到医务室敷药后继续上岗作业。</v>
      </c>
      <c r="E511" s="19" t="s">
        <v>2383</v>
      </c>
      <c r="F511" s="20" t="s">
        <v>42</v>
      </c>
      <c r="G511" s="21" t="s">
        <v>43</v>
      </c>
      <c r="H511" s="19" t="s">
        <v>44</v>
      </c>
      <c r="I511" s="19" t="s">
        <v>45</v>
      </c>
      <c r="J511" s="19" t="s">
        <v>46</v>
      </c>
      <c r="K511" s="19" t="s">
        <v>145</v>
      </c>
      <c r="L511" s="19" t="s">
        <v>573</v>
      </c>
      <c r="M511" s="19" t="s">
        <v>285</v>
      </c>
      <c r="N511" s="19" t="s">
        <v>2384</v>
      </c>
      <c r="O511" s="19" t="s">
        <v>285</v>
      </c>
      <c r="P511" s="19" t="s">
        <v>419</v>
      </c>
      <c r="Q511" s="19" t="s">
        <v>2221</v>
      </c>
      <c r="R511" s="19" t="s">
        <v>2050</v>
      </c>
      <c r="S511" s="19"/>
      <c r="T511" s="19" t="s">
        <v>54</v>
      </c>
      <c r="U511" s="19" t="s">
        <v>75</v>
      </c>
      <c r="V511" s="19" t="s">
        <v>56</v>
      </c>
      <c r="W511" s="19" t="s">
        <v>138</v>
      </c>
      <c r="X511" s="19"/>
      <c r="Y511" s="19"/>
      <c r="Z511" s="19" t="s">
        <v>2385</v>
      </c>
      <c r="AA511" s="19">
        <v>1</v>
      </c>
      <c r="AB511" s="19">
        <v>1</v>
      </c>
      <c r="AC511" s="19" t="s">
        <v>60</v>
      </c>
      <c r="AD511" s="19" t="s">
        <v>419</v>
      </c>
      <c r="AE511" s="19" t="s">
        <v>2221</v>
      </c>
      <c r="AF511" s="19"/>
    </row>
    <row r="512" spans="1:34">
      <c r="A512" s="19">
        <v>502</v>
      </c>
      <c r="B512" s="19" t="s">
        <v>1859</v>
      </c>
      <c r="C512" s="19" t="s">
        <v>407</v>
      </c>
      <c r="D512" s="19" t="str">
        <f>HYPERLINK("http://www.henontech.com/fieldsafety/harzard/harzard_show.php?rid=12443&amp;url=harzardrecs.php","东四后尾清扫器螺栓松动，皮带运行中，一旦清扫不彻底杂物卷入皮带，会造成皮带损伤，经济损失1000元。")</f>
        <v>东四后尾清扫器螺栓松动，皮带运行中，一旦清扫不彻底杂物卷入皮带，会造成皮带损伤，经济损失1000元。</v>
      </c>
      <c r="E512" s="19" t="s">
        <v>2386</v>
      </c>
      <c r="F512" s="20" t="s">
        <v>42</v>
      </c>
      <c r="G512" s="21" t="s">
        <v>43</v>
      </c>
      <c r="H512" s="19" t="s">
        <v>44</v>
      </c>
      <c r="I512" s="19" t="s">
        <v>83</v>
      </c>
      <c r="J512" s="19" t="s">
        <v>46</v>
      </c>
      <c r="K512" s="19"/>
      <c r="L512" s="19" t="s">
        <v>573</v>
      </c>
      <c r="M512" s="19" t="s">
        <v>285</v>
      </c>
      <c r="N512" s="19" t="s">
        <v>2387</v>
      </c>
      <c r="O512" s="19" t="s">
        <v>285</v>
      </c>
      <c r="P512" s="19" t="s">
        <v>419</v>
      </c>
      <c r="Q512" s="19" t="s">
        <v>2221</v>
      </c>
      <c r="R512" s="19" t="s">
        <v>2388</v>
      </c>
      <c r="S512" s="19"/>
      <c r="T512" s="19" t="s">
        <v>100</v>
      </c>
      <c r="U512" s="19" t="s">
        <v>192</v>
      </c>
      <c r="V512" s="19" t="s">
        <v>101</v>
      </c>
      <c r="W512" s="19" t="s">
        <v>77</v>
      </c>
      <c r="X512" s="19"/>
      <c r="Y512" s="19"/>
      <c r="Z512" s="19" t="s">
        <v>2389</v>
      </c>
      <c r="AA512" s="19">
        <v>1</v>
      </c>
      <c r="AB512" s="19">
        <v>1</v>
      </c>
      <c r="AC512" s="19" t="s">
        <v>60</v>
      </c>
      <c r="AD512" s="19" t="s">
        <v>419</v>
      </c>
      <c r="AE512" s="19" t="s">
        <v>2221</v>
      </c>
      <c r="AF512" s="19"/>
    </row>
    <row r="513" spans="1:34">
      <c r="A513" s="19">
        <v>503</v>
      </c>
      <c r="B513" s="19" t="s">
        <v>1859</v>
      </c>
      <c r="C513" s="19" t="s">
        <v>549</v>
      </c>
      <c r="D513" s="19" t="str">
        <f>HYPERLINK("http://www.henontech.com/fieldsafety/harzard/harzard_show.php?rid=12446&amp;url=harzardrecs.php","2#初冷器中层护栏开焊，一名操作工在冲洗初冷器上下爬梯时，由于护栏开焊，可能造成小腿轻微划伤，去医务室简单处理，未影响正常工作")</f>
        <v>2#初冷器中层护栏开焊，一名操作工在冲洗初冷器上下爬梯时，由于护栏开焊，可能造成小腿轻微划伤，去医务室简单处理，未影响正常工作</v>
      </c>
      <c r="E513" s="19" t="s">
        <v>2390</v>
      </c>
      <c r="F513" s="20" t="s">
        <v>42</v>
      </c>
      <c r="G513" s="21" t="s">
        <v>43</v>
      </c>
      <c r="H513" s="19" t="s">
        <v>44</v>
      </c>
      <c r="I513" s="19" t="s">
        <v>45</v>
      </c>
      <c r="J513" s="19" t="s">
        <v>46</v>
      </c>
      <c r="K513" s="19" t="s">
        <v>69</v>
      </c>
      <c r="L513" s="19"/>
      <c r="M513" s="19" t="s">
        <v>70</v>
      </c>
      <c r="N513" s="19" t="s">
        <v>1295</v>
      </c>
      <c r="O513" s="19" t="s">
        <v>70</v>
      </c>
      <c r="P513" s="19" t="s">
        <v>72</v>
      </c>
      <c r="Q513" s="19" t="s">
        <v>1322</v>
      </c>
      <c r="R513" s="19" t="s">
        <v>2391</v>
      </c>
      <c r="S513" s="19"/>
      <c r="T513" s="19" t="s">
        <v>54</v>
      </c>
      <c r="U513" s="19" t="s">
        <v>75</v>
      </c>
      <c r="V513" s="19" t="s">
        <v>101</v>
      </c>
      <c r="W513" s="19" t="s">
        <v>77</v>
      </c>
      <c r="X513" s="19"/>
      <c r="Y513" s="19"/>
      <c r="Z513" s="19" t="s">
        <v>2111</v>
      </c>
      <c r="AA513" s="19">
        <v>1</v>
      </c>
      <c r="AB513" s="19">
        <v>1</v>
      </c>
      <c r="AC513" s="19" t="s">
        <v>60</v>
      </c>
      <c r="AD513" s="19" t="s">
        <v>72</v>
      </c>
      <c r="AE513" s="19" t="s">
        <v>1080</v>
      </c>
      <c r="AF513" s="19"/>
    </row>
    <row r="514" spans="1:34">
      <c r="A514" s="19">
        <v>504</v>
      </c>
      <c r="B514" s="19" t="s">
        <v>1859</v>
      </c>
      <c r="C514" s="19" t="s">
        <v>2374</v>
      </c>
      <c r="D514" s="19" t="str">
        <f>HYPERLINK("http://www.henontech.com/fieldsafety/harzard/harzard_show.php?rid=12450&amp;url=harzardrecs.php","东五后尾护栏套管有一处开焊，有一名操作工在巡检时手背划伤，到医务室敷药后回到岗位继续工作。")</f>
        <v>东五后尾护栏套管有一处开焊，有一名操作工在巡检时手背划伤，到医务室敷药后回到岗位继续工作。</v>
      </c>
      <c r="E514" s="19" t="s">
        <v>2392</v>
      </c>
      <c r="F514" s="26" t="s">
        <v>2393</v>
      </c>
      <c r="G514" s="19"/>
      <c r="H514" s="19" t="s">
        <v>44</v>
      </c>
      <c r="I514" s="19" t="s">
        <v>67</v>
      </c>
      <c r="J514" s="19" t="s">
        <v>46</v>
      </c>
      <c r="K514" s="19" t="s">
        <v>145</v>
      </c>
      <c r="L514" s="19" t="s">
        <v>48</v>
      </c>
      <c r="M514" s="19" t="s">
        <v>285</v>
      </c>
      <c r="N514" s="19" t="s">
        <v>2394</v>
      </c>
      <c r="O514" s="19"/>
      <c r="P514" s="19"/>
      <c r="Q514" s="19"/>
      <c r="R514" s="19" t="s">
        <v>2050</v>
      </c>
      <c r="S514" s="19"/>
      <c r="T514" s="19" t="s">
        <v>54</v>
      </c>
      <c r="U514" s="19" t="s">
        <v>75</v>
      </c>
      <c r="V514" s="19" t="s">
        <v>76</v>
      </c>
      <c r="W514" s="19" t="s">
        <v>77</v>
      </c>
      <c r="X514" s="19"/>
      <c r="Y514" s="19"/>
      <c r="Z514" s="19"/>
      <c r="AA514" s="19"/>
      <c r="AB514" s="19"/>
      <c r="AC514" s="19" t="s">
        <v>392</v>
      </c>
      <c r="AD514" s="19"/>
      <c r="AE514" s="19"/>
      <c r="AF514" s="19"/>
    </row>
    <row r="515" spans="1:34">
      <c r="A515" s="19">
        <v>505</v>
      </c>
      <c r="B515" s="19" t="s">
        <v>1859</v>
      </c>
      <c r="C515" s="19" t="s">
        <v>2228</v>
      </c>
      <c r="D515" s="19" t="str">
        <f>HYPERLINK("http://www.henontech.com/fieldsafety/harzard/harzard_show.php?rid=12452&amp;url=harzardrecs.php","南风机操作工在检查空气呼吸器时发现压力低未达到标准压力(不得低于22MPa)一旦紧急使用，得不到救护，造成人员伤亡。")</f>
        <v>南风机操作工在检查空气呼吸器时发现压力低未达到标准压力(不得低于22MPa)一旦紧急使用，得不到救护，造成人员伤亡。</v>
      </c>
      <c r="E515" s="19" t="s">
        <v>2395</v>
      </c>
      <c r="F515" s="20" t="s">
        <v>42</v>
      </c>
      <c r="G515" s="21" t="s">
        <v>43</v>
      </c>
      <c r="H515" s="19" t="s">
        <v>2396</v>
      </c>
      <c r="I515" s="19"/>
      <c r="J515" s="19" t="s">
        <v>46</v>
      </c>
      <c r="K515" s="19"/>
      <c r="L515" s="19"/>
      <c r="M515" s="19" t="s">
        <v>70</v>
      </c>
      <c r="N515" s="19" t="s">
        <v>2397</v>
      </c>
      <c r="O515" s="19" t="s">
        <v>70</v>
      </c>
      <c r="P515" s="19" t="s">
        <v>72</v>
      </c>
      <c r="Q515" s="19" t="s">
        <v>1322</v>
      </c>
      <c r="R515" s="19" t="s">
        <v>2398</v>
      </c>
      <c r="S515" s="19"/>
      <c r="T515" s="19" t="s">
        <v>54</v>
      </c>
      <c r="U515" s="19" t="s">
        <v>55</v>
      </c>
      <c r="V515" s="19" t="s">
        <v>56</v>
      </c>
      <c r="W515" s="19" t="s">
        <v>57</v>
      </c>
      <c r="X515" s="19"/>
      <c r="Y515" s="19"/>
      <c r="Z515" s="19" t="s">
        <v>2399</v>
      </c>
      <c r="AA515" s="19">
        <v>1</v>
      </c>
      <c r="AB515" s="19">
        <v>1</v>
      </c>
      <c r="AC515" s="19" t="s">
        <v>60</v>
      </c>
      <c r="AD515" s="19" t="s">
        <v>72</v>
      </c>
      <c r="AE515" s="19" t="s">
        <v>1080</v>
      </c>
      <c r="AF515" s="19"/>
    </row>
    <row r="516" spans="1:34">
      <c r="A516" s="19">
        <v>506</v>
      </c>
      <c r="B516" s="19" t="s">
        <v>1859</v>
      </c>
      <c r="C516" s="19" t="s">
        <v>2005</v>
      </c>
      <c r="D516" s="19" t="str">
        <f>HYPERLINK("http://www.henontech.com/fieldsafety/harzard/harzard_show.php?rid=12453&amp;url=harzardrecs.php","排水沟盖板破损，一职工在巡检此处，左脚掉入排水沟，造成轻微擦伤，经简单处理继续工作")</f>
        <v>排水沟盖板破损，一职工在巡检此处，左脚掉入排水沟，造成轻微擦伤，经简单处理继续工作</v>
      </c>
      <c r="E516" s="19" t="s">
        <v>2400</v>
      </c>
      <c r="F516" s="20" t="s">
        <v>42</v>
      </c>
      <c r="G516" s="21" t="s">
        <v>43</v>
      </c>
      <c r="H516" s="19" t="s">
        <v>44</v>
      </c>
      <c r="I516" s="19" t="s">
        <v>67</v>
      </c>
      <c r="J516" s="19" t="s">
        <v>46</v>
      </c>
      <c r="K516" s="19" t="s">
        <v>145</v>
      </c>
      <c r="L516" s="19" t="s">
        <v>48</v>
      </c>
      <c r="M516" s="19" t="s">
        <v>285</v>
      </c>
      <c r="N516" s="19" t="s">
        <v>2401</v>
      </c>
      <c r="O516" s="19" t="s">
        <v>285</v>
      </c>
      <c r="P516" s="19" t="s">
        <v>410</v>
      </c>
      <c r="Q516" s="19" t="s">
        <v>2353</v>
      </c>
      <c r="R516" s="19" t="s">
        <v>1423</v>
      </c>
      <c r="S516" s="19"/>
      <c r="T516" s="19" t="s">
        <v>54</v>
      </c>
      <c r="U516" s="19" t="s">
        <v>75</v>
      </c>
      <c r="V516" s="19" t="s">
        <v>56</v>
      </c>
      <c r="W516" s="19" t="s">
        <v>138</v>
      </c>
      <c r="X516" s="19"/>
      <c r="Y516" s="19"/>
      <c r="Z516" s="19" t="s">
        <v>2402</v>
      </c>
      <c r="AA516" s="19">
        <v>1</v>
      </c>
      <c r="AB516" s="19">
        <v>1</v>
      </c>
      <c r="AC516" s="19" t="s">
        <v>60</v>
      </c>
      <c r="AD516" s="19" t="s">
        <v>410</v>
      </c>
      <c r="AE516" s="19" t="s">
        <v>1876</v>
      </c>
      <c r="AF516" s="19"/>
    </row>
    <row r="517" spans="1:34">
      <c r="A517" s="19">
        <v>507</v>
      </c>
      <c r="B517" s="19" t="s">
        <v>1859</v>
      </c>
      <c r="C517" s="19" t="s">
        <v>1712</v>
      </c>
      <c r="D517" s="19" t="str">
        <f>HYPERLINK("http://www.henontech.com/fieldsafety/harzard/harzard_show.php?rid=12454&amp;url=harzardrecs.php","北脱硫操作室西南角水泥块松动，假如1人巡检经过此处，水泥块突然坠落可能会造成右臂砸伤骨折，住院治疗一个月后在家休养二个月后复工。")</f>
        <v>北脱硫操作室西南角水泥块松动，假如1人巡检经过此处，水泥块突然坠落可能会造成右臂砸伤骨折，住院治疗一个月后在家休养二个月后复工。</v>
      </c>
      <c r="E517" s="19" t="s">
        <v>2403</v>
      </c>
      <c r="F517" s="20" t="s">
        <v>42</v>
      </c>
      <c r="G517" s="21" t="s">
        <v>43</v>
      </c>
      <c r="H517" s="19" t="s">
        <v>44</v>
      </c>
      <c r="I517" s="19" t="s">
        <v>45</v>
      </c>
      <c r="J517" s="19" t="s">
        <v>46</v>
      </c>
      <c r="K517" s="19" t="s">
        <v>69</v>
      </c>
      <c r="L517" s="19"/>
      <c r="M517" s="19" t="s">
        <v>70</v>
      </c>
      <c r="N517" s="19" t="s">
        <v>2404</v>
      </c>
      <c r="O517" s="19" t="s">
        <v>70</v>
      </c>
      <c r="P517" s="19" t="s">
        <v>72</v>
      </c>
      <c r="Q517" s="19" t="s">
        <v>1322</v>
      </c>
      <c r="R517" s="19" t="s">
        <v>2405</v>
      </c>
      <c r="S517" s="19"/>
      <c r="T517" s="19" t="s">
        <v>54</v>
      </c>
      <c r="U517" s="19" t="s">
        <v>55</v>
      </c>
      <c r="V517" s="19" t="s">
        <v>101</v>
      </c>
      <c r="W517" s="19" t="s">
        <v>138</v>
      </c>
      <c r="X517" s="19"/>
      <c r="Y517" s="19"/>
      <c r="Z517" s="19" t="s">
        <v>2406</v>
      </c>
      <c r="AA517" s="19">
        <v>1</v>
      </c>
      <c r="AB517" s="19">
        <v>1</v>
      </c>
      <c r="AC517" s="19" t="s">
        <v>60</v>
      </c>
      <c r="AD517" s="19" t="s">
        <v>72</v>
      </c>
      <c r="AE517" s="19" t="s">
        <v>2177</v>
      </c>
      <c r="AF517" s="19"/>
    </row>
    <row r="518" spans="1:34">
      <c r="A518" s="19">
        <v>508</v>
      </c>
      <c r="B518" s="19" t="s">
        <v>1859</v>
      </c>
      <c r="C518" s="19" t="s">
        <v>2407</v>
      </c>
      <c r="D518" s="19" t="str">
        <f>HYPERLINK("http://www.henontech.com/fieldsafety/harzard/harzard_show.php?rid=12455&amp;url=harzardrecs.php","北班长室西侧排水沟盖板破损，一名操作工夜间经过此处时未发现盖板破损，左脚不慎落入排水沟底部，造成操作工左脚脚踝扭伤，送往医院治疗在家休养7天。")</f>
        <v>北班长室西侧排水沟盖板破损，一名操作工夜间经过此处时未发现盖板破损，左脚不慎落入排水沟底部，造成操作工左脚脚踝扭伤，送往医院治疗在家休养7天。</v>
      </c>
      <c r="E518" s="19" t="s">
        <v>2408</v>
      </c>
      <c r="F518" s="20" t="s">
        <v>42</v>
      </c>
      <c r="G518" s="21" t="s">
        <v>43</v>
      </c>
      <c r="H518" s="19" t="s">
        <v>44</v>
      </c>
      <c r="I518" s="19" t="s">
        <v>45</v>
      </c>
      <c r="J518" s="19" t="s">
        <v>46</v>
      </c>
      <c r="K518" s="19" t="s">
        <v>69</v>
      </c>
      <c r="L518" s="19" t="s">
        <v>48</v>
      </c>
      <c r="M518" s="19" t="s">
        <v>70</v>
      </c>
      <c r="N518" s="19" t="s">
        <v>513</v>
      </c>
      <c r="O518" s="19" t="s">
        <v>70</v>
      </c>
      <c r="P518" s="19" t="s">
        <v>72</v>
      </c>
      <c r="Q518" s="19" t="s">
        <v>1322</v>
      </c>
      <c r="R518" s="19" t="s">
        <v>2409</v>
      </c>
      <c r="S518" s="19"/>
      <c r="T518" s="19" t="s">
        <v>54</v>
      </c>
      <c r="U518" s="19" t="s">
        <v>55</v>
      </c>
      <c r="V518" s="19" t="s">
        <v>101</v>
      </c>
      <c r="W518" s="19" t="s">
        <v>138</v>
      </c>
      <c r="X518" s="19"/>
      <c r="Y518" s="19"/>
      <c r="Z518" s="19" t="s">
        <v>733</v>
      </c>
      <c r="AA518" s="19">
        <v>1</v>
      </c>
      <c r="AB518" s="19">
        <v>1</v>
      </c>
      <c r="AC518" s="19" t="s">
        <v>60</v>
      </c>
      <c r="AD518" s="19" t="s">
        <v>72</v>
      </c>
      <c r="AE518" s="19" t="s">
        <v>2171</v>
      </c>
      <c r="AF518" s="19"/>
    </row>
    <row r="519" spans="1:34">
      <c r="A519" s="19">
        <v>509</v>
      </c>
      <c r="B519" s="19" t="s">
        <v>1876</v>
      </c>
      <c r="C519" s="19" t="s">
        <v>2005</v>
      </c>
      <c r="D519" s="19" t="str">
        <f>HYPERLINK("http://www.henontech.com/fieldsafety/harzard/harzard_show.php?rid=12502&amp;url=harzardrecs.php","西五一托辊腐烂，胶带在运行中容易造成划伤。")</f>
        <v>西五一托辊腐烂，胶带在运行中容易造成划伤。</v>
      </c>
      <c r="E519" s="19" t="s">
        <v>2410</v>
      </c>
      <c r="F519" s="20" t="s">
        <v>42</v>
      </c>
      <c r="G519" s="21" t="s">
        <v>43</v>
      </c>
      <c r="H519" s="19" t="s">
        <v>44</v>
      </c>
      <c r="I519" s="19" t="s">
        <v>45</v>
      </c>
      <c r="J519" s="19" t="s">
        <v>46</v>
      </c>
      <c r="K519" s="19"/>
      <c r="L519" s="19"/>
      <c r="M519" s="19" t="s">
        <v>285</v>
      </c>
      <c r="N519" s="19" t="s">
        <v>2411</v>
      </c>
      <c r="O519" s="19" t="s">
        <v>285</v>
      </c>
      <c r="P519" s="19" t="s">
        <v>419</v>
      </c>
      <c r="Q519" s="19" t="s">
        <v>2221</v>
      </c>
      <c r="R519" s="19" t="s">
        <v>2243</v>
      </c>
      <c r="S519" s="19" t="s">
        <v>2412</v>
      </c>
      <c r="T519" s="19" t="s">
        <v>100</v>
      </c>
      <c r="U519" s="19" t="s">
        <v>192</v>
      </c>
      <c r="V519" s="19" t="s">
        <v>56</v>
      </c>
      <c r="W519" s="19" t="s">
        <v>77</v>
      </c>
      <c r="X519" s="19"/>
      <c r="Y519" s="19"/>
      <c r="Z519" s="19" t="s">
        <v>2413</v>
      </c>
      <c r="AA519" s="19">
        <v>1</v>
      </c>
      <c r="AB519" s="19">
        <v>1</v>
      </c>
      <c r="AC519" s="19" t="s">
        <v>60</v>
      </c>
      <c r="AD519" s="19" t="s">
        <v>419</v>
      </c>
      <c r="AE519" s="19" t="s">
        <v>2221</v>
      </c>
      <c r="AF519" s="19"/>
    </row>
    <row r="520" spans="1:34" customHeight="1" ht="42">
      <c r="A520" s="19">
        <v>510</v>
      </c>
      <c r="B520" s="19" t="s">
        <v>1876</v>
      </c>
      <c r="C520" s="19" t="s">
        <v>485</v>
      </c>
      <c r="D520" s="19" t="str">
        <f>HYPERLINK("http://www.henontech.com/fieldsafety/harzard/harzard_show.php?rid=12503&amp;url=harzardrecs.php","焦炉南端轴流风扇电源线接头无防护套管，若遇下雨漏电，恰巧一名职工不慎到此处，造成该操作工触电，经抢救无效当场死亡。")</f>
        <v>焦炉南端轴流风扇电源线接头无防护套管，若遇下雨漏电，恰巧一名职工不慎到此处，造成该操作工触电，经抢救无效当场死亡。</v>
      </c>
      <c r="E520" s="19" t="s">
        <v>512</v>
      </c>
      <c r="F520" s="20" t="s">
        <v>42</v>
      </c>
      <c r="G520" s="22" t="s">
        <v>66</v>
      </c>
      <c r="H520" s="19" t="s">
        <v>44</v>
      </c>
      <c r="I520" s="19" t="s">
        <v>45</v>
      </c>
      <c r="J520" s="19" t="s">
        <v>202</v>
      </c>
      <c r="K520" s="19" t="s">
        <v>69</v>
      </c>
      <c r="L520" s="19"/>
      <c r="M520" s="19" t="s">
        <v>117</v>
      </c>
      <c r="N520" s="19" t="s">
        <v>2414</v>
      </c>
      <c r="O520" s="19" t="s">
        <v>117</v>
      </c>
      <c r="P520" s="19" t="s">
        <v>224</v>
      </c>
      <c r="Q520" s="19" t="s">
        <v>2353</v>
      </c>
      <c r="R520" s="19" t="s">
        <v>2415</v>
      </c>
      <c r="S520" s="19"/>
      <c r="T520" s="19" t="s">
        <v>54</v>
      </c>
      <c r="U520" s="19" t="s">
        <v>121</v>
      </c>
      <c r="V520" s="19" t="s">
        <v>56</v>
      </c>
      <c r="W520" s="19" t="s">
        <v>122</v>
      </c>
      <c r="X520" s="19" t="s">
        <v>123</v>
      </c>
      <c r="Y520" s="19"/>
      <c r="Z520" s="19" t="s">
        <v>2416</v>
      </c>
      <c r="AA520" s="19">
        <v>2</v>
      </c>
      <c r="AB520" s="19">
        <v>2</v>
      </c>
      <c r="AC520" s="19" t="s">
        <v>60</v>
      </c>
      <c r="AD520" s="19" t="s">
        <v>224</v>
      </c>
      <c r="AE520" s="19" t="s">
        <v>1132</v>
      </c>
      <c r="AF520" s="19"/>
    </row>
    <row r="521" spans="1:34" customHeight="1" ht="42">
      <c r="A521" s="19">
        <v>511</v>
      </c>
      <c r="B521" s="19" t="s">
        <v>1876</v>
      </c>
      <c r="C521" s="19" t="s">
        <v>1250</v>
      </c>
      <c r="D521" s="19" t="str">
        <f>HYPERLINK("http://www.henontech.com/fieldsafety/harzard/harzard_show.php?rid=12515&amp;url=harzardrecs.php","5.5米焦炉焦侧通廊顶部挡水玻璃钢瓦紧固的铁丝严重腐蚀。若脱落的玻璃钢瓦恰巧砸中在此巡检的操作工脸部。")</f>
        <v>5.5米焦炉焦侧通廊顶部挡水玻璃钢瓦紧固的铁丝严重腐蚀。若脱落的玻璃钢瓦恰巧砸中在此巡检的操作工脸部。</v>
      </c>
      <c r="E521" s="19" t="s">
        <v>2417</v>
      </c>
      <c r="F521" s="20" t="s">
        <v>42</v>
      </c>
      <c r="G521" s="21" t="s">
        <v>43</v>
      </c>
      <c r="H521" s="19" t="s">
        <v>44</v>
      </c>
      <c r="I521" s="19" t="s">
        <v>45</v>
      </c>
      <c r="J521" s="19" t="s">
        <v>46</v>
      </c>
      <c r="K521" s="19" t="s">
        <v>145</v>
      </c>
      <c r="L521" s="19" t="s">
        <v>48</v>
      </c>
      <c r="M521" s="19" t="s">
        <v>117</v>
      </c>
      <c r="N521" s="19" t="s">
        <v>2418</v>
      </c>
      <c r="O521" s="19" t="s">
        <v>117</v>
      </c>
      <c r="P521" s="19" t="s">
        <v>233</v>
      </c>
      <c r="Q521" s="19" t="s">
        <v>2353</v>
      </c>
      <c r="R521" s="19" t="s">
        <v>2419</v>
      </c>
      <c r="S521" s="19"/>
      <c r="T521" s="19" t="s">
        <v>54</v>
      </c>
      <c r="U521" s="19" t="s">
        <v>55</v>
      </c>
      <c r="V521" s="19" t="s">
        <v>101</v>
      </c>
      <c r="W521" s="19" t="s">
        <v>138</v>
      </c>
      <c r="X521" s="19" t="s">
        <v>123</v>
      </c>
      <c r="Y521" s="19"/>
      <c r="Z521" s="19" t="s">
        <v>2420</v>
      </c>
      <c r="AA521" s="19">
        <v>2</v>
      </c>
      <c r="AB521" s="19">
        <v>1</v>
      </c>
      <c r="AC521" s="19" t="s">
        <v>60</v>
      </c>
      <c r="AD521" s="19" t="s">
        <v>233</v>
      </c>
      <c r="AE521" s="19" t="s">
        <v>2221</v>
      </c>
      <c r="AF521" s="19" t="s">
        <v>2421</v>
      </c>
    </row>
    <row r="522" spans="1:34" customHeight="1" ht="42">
      <c r="A522" s="19">
        <v>512</v>
      </c>
      <c r="B522" s="19" t="s">
        <v>1876</v>
      </c>
      <c r="C522" s="19" t="s">
        <v>482</v>
      </c>
      <c r="D522" s="19" t="str">
        <f>HYPERLINK("http://www.henontech.com/fieldsafety/harzard/harzard_show.php?rid=12527&amp;url=harzardrecs.php","5.5m炉顶区护栏无警示标识，若1外来施工人员，施工间隙倚靠护栏，若恰巧该段护栏焊口开裂强度不足，导致人员失去重心自8m高平台坠落。")</f>
        <v>5.5m炉顶区护栏无警示标识，若1外来施工人员，施工间隙倚靠护栏，若恰巧该段护栏焊口开裂强度不足，导致人员失去重心自8m高平台坠落。</v>
      </c>
      <c r="E522" s="19" t="s">
        <v>2422</v>
      </c>
      <c r="F522" s="20" t="s">
        <v>42</v>
      </c>
      <c r="G522" s="22" t="s">
        <v>66</v>
      </c>
      <c r="H522" s="19" t="s">
        <v>44</v>
      </c>
      <c r="I522" s="19"/>
      <c r="J522" s="19" t="s">
        <v>178</v>
      </c>
      <c r="K522" s="19"/>
      <c r="L522" s="19"/>
      <c r="M522" s="19" t="s">
        <v>117</v>
      </c>
      <c r="N522" s="19" t="s">
        <v>1885</v>
      </c>
      <c r="O522" s="19" t="s">
        <v>117</v>
      </c>
      <c r="P522" s="19" t="s">
        <v>636</v>
      </c>
      <c r="Q522" s="19" t="s">
        <v>2423</v>
      </c>
      <c r="R522" s="19" t="s">
        <v>2424</v>
      </c>
      <c r="S522" s="19"/>
      <c r="T522" s="19" t="s">
        <v>54</v>
      </c>
      <c r="U522" s="19" t="s">
        <v>121</v>
      </c>
      <c r="V522" s="19" t="s">
        <v>101</v>
      </c>
      <c r="W522" s="19" t="s">
        <v>57</v>
      </c>
      <c r="X522" s="19" t="s">
        <v>58</v>
      </c>
      <c r="Y522" s="19"/>
      <c r="Z522" s="19" t="s">
        <v>2425</v>
      </c>
      <c r="AA522" s="19">
        <v>2</v>
      </c>
      <c r="AB522" s="19">
        <v>2</v>
      </c>
      <c r="AC522" s="19" t="s">
        <v>60</v>
      </c>
      <c r="AD522" s="19" t="s">
        <v>636</v>
      </c>
      <c r="AE522" s="19" t="s">
        <v>1876</v>
      </c>
      <c r="AF522" s="19" t="s">
        <v>2426</v>
      </c>
    </row>
    <row r="523" spans="1:34" customHeight="1" ht="42">
      <c r="A523" s="19">
        <v>513</v>
      </c>
      <c r="B523" s="19" t="s">
        <v>1876</v>
      </c>
      <c r="C523" s="19" t="s">
        <v>689</v>
      </c>
      <c r="D523" s="19" t="str">
        <f>HYPERLINK("http://www.henontech.com/fieldsafety/harzard/harzard_show.php?rid=12529&amp;url=harzardrecs.php","提升机框架顶部风向标钢管仅根部与底座承插固定，若遇较高级别大风，风向标整体受大力风摆的影响自50m高平台坠落，恰好击中自该处下方巡查通行的1名员工。")</f>
        <v>提升机框架顶部风向标钢管仅根部与底座承插固定，若遇较高级别大风，风向标整体受大力风摆的影响自50m高平台坠落，恰好击中自该处下方巡查通行的1名员工。</v>
      </c>
      <c r="E523" s="19" t="s">
        <v>2427</v>
      </c>
      <c r="F523" s="20" t="s">
        <v>42</v>
      </c>
      <c r="G523" s="22" t="s">
        <v>66</v>
      </c>
      <c r="H523" s="19" t="s">
        <v>44</v>
      </c>
      <c r="I523" s="19"/>
      <c r="J523" s="19" t="s">
        <v>68</v>
      </c>
      <c r="K523" s="19"/>
      <c r="L523" s="19"/>
      <c r="M523" s="19" t="s">
        <v>117</v>
      </c>
      <c r="N523" s="19" t="s">
        <v>1885</v>
      </c>
      <c r="O523" s="19" t="s">
        <v>117</v>
      </c>
      <c r="P523" s="19" t="s">
        <v>876</v>
      </c>
      <c r="Q523" s="19" t="s">
        <v>1910</v>
      </c>
      <c r="R523" s="19" t="s">
        <v>2428</v>
      </c>
      <c r="S523" s="19"/>
      <c r="T523" s="19" t="s">
        <v>54</v>
      </c>
      <c r="U523" s="19" t="s">
        <v>121</v>
      </c>
      <c r="V523" s="19" t="s">
        <v>101</v>
      </c>
      <c r="W523" s="19" t="s">
        <v>57</v>
      </c>
      <c r="X523" s="19" t="s">
        <v>58</v>
      </c>
      <c r="Y523" s="19"/>
      <c r="Z523" s="19" t="s">
        <v>2429</v>
      </c>
      <c r="AA523" s="19">
        <v>2</v>
      </c>
      <c r="AB523" s="19">
        <v>2</v>
      </c>
      <c r="AC523" s="19" t="s">
        <v>60</v>
      </c>
      <c r="AD523" s="19" t="s">
        <v>876</v>
      </c>
      <c r="AE523" s="19" t="s">
        <v>1876</v>
      </c>
      <c r="AF523" s="19" t="s">
        <v>2430</v>
      </c>
    </row>
    <row r="524" spans="1:34" customHeight="1" ht="42">
      <c r="A524" s="19">
        <v>514</v>
      </c>
      <c r="B524" s="19" t="s">
        <v>1876</v>
      </c>
      <c r="C524" s="19" t="s">
        <v>2431</v>
      </c>
      <c r="D524" s="19" t="str">
        <f>HYPERLINK("http://www.henontech.com/fieldsafety/harzard/harzard_show.php?rid=12530&amp;url=harzardrecs.php","硫铵二楼振动筛西北侧平台过小，无护栏，一名硫铵操作工在清理振动筛时，不慎从平台上坠落造成右胳膊小臂骨折。")</f>
        <v>硫铵二楼振动筛西北侧平台过小，无护栏，一名硫铵操作工在清理振动筛时，不慎从平台上坠落造成右胳膊小臂骨折。</v>
      </c>
      <c r="E524" s="19" t="s">
        <v>2432</v>
      </c>
      <c r="F524" s="25" t="s">
        <v>1853</v>
      </c>
      <c r="G524" s="21" t="s">
        <v>43</v>
      </c>
      <c r="H524" s="19" t="s">
        <v>44</v>
      </c>
      <c r="I524" s="19" t="s">
        <v>45</v>
      </c>
      <c r="J524" s="19" t="s">
        <v>46</v>
      </c>
      <c r="K524" s="19"/>
      <c r="L524" s="19"/>
      <c r="M524" s="19" t="s">
        <v>84</v>
      </c>
      <c r="N524" s="19" t="s">
        <v>2433</v>
      </c>
      <c r="O524" s="19" t="s">
        <v>84</v>
      </c>
      <c r="P524" s="19" t="s">
        <v>85</v>
      </c>
      <c r="Q524" s="19" t="s">
        <v>2132</v>
      </c>
      <c r="R524" s="19" t="s">
        <v>2434</v>
      </c>
      <c r="S524" s="19"/>
      <c r="T524" s="19" t="s">
        <v>54</v>
      </c>
      <c r="U524" s="19" t="s">
        <v>55</v>
      </c>
      <c r="V524" s="19" t="s">
        <v>56</v>
      </c>
      <c r="W524" s="19" t="s">
        <v>57</v>
      </c>
      <c r="X524" s="19" t="s">
        <v>58</v>
      </c>
      <c r="Y524" s="19"/>
      <c r="Z524" s="19" t="s">
        <v>2435</v>
      </c>
      <c r="AA524" s="19">
        <v>2</v>
      </c>
      <c r="AB524" s="19"/>
      <c r="AC524" s="19" t="s">
        <v>392</v>
      </c>
      <c r="AD524" s="19"/>
      <c r="AE524" s="19"/>
      <c r="AF524" s="19"/>
    </row>
    <row r="525" spans="1:34">
      <c r="A525" s="19">
        <v>515</v>
      </c>
      <c r="B525" s="19" t="s">
        <v>1876</v>
      </c>
      <c r="C525" s="19" t="s">
        <v>520</v>
      </c>
      <c r="D525" s="19" t="str">
        <f>HYPERLINK("http://www.henontech.com/fieldsafety/harzard/harzard_show.php?rid=12544&amp;url=harzardrecs.php","污水处理车间深度处理岗位配电柜内一中间继电器接线端子腐蚀严重，导致短路故障，造成加药泵无法启动，使系统停车6小时。")</f>
        <v>污水处理车间深度处理岗位配电柜内一中间继电器接线端子腐蚀严重，导致短路故障，造成加药泵无法启动，使系统停车6小时。</v>
      </c>
      <c r="E525" s="19" t="s">
        <v>2436</v>
      </c>
      <c r="F525" s="20" t="s">
        <v>42</v>
      </c>
      <c r="G525" s="21" t="s">
        <v>43</v>
      </c>
      <c r="H525" s="19" t="s">
        <v>44</v>
      </c>
      <c r="I525" s="19"/>
      <c r="J525" s="19" t="s">
        <v>68</v>
      </c>
      <c r="K525" s="19" t="s">
        <v>145</v>
      </c>
      <c r="L525" s="19"/>
      <c r="M525" s="19" t="s">
        <v>49</v>
      </c>
      <c r="N525" s="19" t="s">
        <v>2371</v>
      </c>
      <c r="O525" s="19" t="s">
        <v>49</v>
      </c>
      <c r="P525" s="19" t="s">
        <v>523</v>
      </c>
      <c r="Q525" s="19" t="s">
        <v>2353</v>
      </c>
      <c r="R525" s="19" t="s">
        <v>2437</v>
      </c>
      <c r="S525" s="19"/>
      <c r="T525" s="19" t="s">
        <v>100</v>
      </c>
      <c r="U525" s="19" t="s">
        <v>55</v>
      </c>
      <c r="V525" s="19" t="s">
        <v>271</v>
      </c>
      <c r="W525" s="19" t="s">
        <v>122</v>
      </c>
      <c r="X525" s="19" t="s">
        <v>58</v>
      </c>
      <c r="Y525" s="19" t="s">
        <v>58</v>
      </c>
      <c r="Z525" s="19" t="s">
        <v>2438</v>
      </c>
      <c r="AA525" s="19">
        <v>1</v>
      </c>
      <c r="AB525" s="19">
        <v>1</v>
      </c>
      <c r="AC525" s="19" t="s">
        <v>60</v>
      </c>
      <c r="AD525" s="19" t="s">
        <v>523</v>
      </c>
      <c r="AE525" s="19" t="s">
        <v>1876</v>
      </c>
      <c r="AF525" s="19"/>
    </row>
    <row r="526" spans="1:34">
      <c r="A526" s="19">
        <v>516</v>
      </c>
      <c r="B526" s="19" t="s">
        <v>1876</v>
      </c>
      <c r="C526" s="19" t="s">
        <v>2439</v>
      </c>
      <c r="D526" s="19" t="str">
        <f>HYPERLINK("http://www.henontech.com/fieldsafety/harzard/harzard_show.php?rid=12567&amp;url=harzardrecs.php","生化缺氧池上部流量计由于穿线管密封不严，下雨时顺着穿线管流入流量计内，如不及时处理，一旦雨水连接到线路板，将导致流量计烧毁，造成经济损失0.45万元的设备损坏事故。")</f>
        <v>生化缺氧池上部流量计由于穿线管密封不严，下雨时顺着穿线管流入流量计内，如不及时处理，一旦雨水连接到线路板，将导致流量计烧毁，造成经济损失0.45万元的设备损坏事故。</v>
      </c>
      <c r="E526" s="19" t="s">
        <v>2440</v>
      </c>
      <c r="F526" s="20" t="s">
        <v>42</v>
      </c>
      <c r="G526" s="21" t="s">
        <v>43</v>
      </c>
      <c r="H526" s="19" t="s">
        <v>44</v>
      </c>
      <c r="I526" s="19"/>
      <c r="J526" s="19" t="s">
        <v>46</v>
      </c>
      <c r="K526" s="19" t="s">
        <v>69</v>
      </c>
      <c r="L526" s="19"/>
      <c r="M526" s="19" t="s">
        <v>49</v>
      </c>
      <c r="N526" s="19" t="s">
        <v>2441</v>
      </c>
      <c r="O526" s="19" t="s">
        <v>49</v>
      </c>
      <c r="P526" s="19" t="s">
        <v>523</v>
      </c>
      <c r="Q526" s="19" t="s">
        <v>2353</v>
      </c>
      <c r="R526" s="19" t="s">
        <v>2442</v>
      </c>
      <c r="S526" s="19"/>
      <c r="T526" s="19" t="s">
        <v>100</v>
      </c>
      <c r="U526" s="19" t="s">
        <v>192</v>
      </c>
      <c r="V526" s="19" t="s">
        <v>56</v>
      </c>
      <c r="W526" s="19" t="s">
        <v>77</v>
      </c>
      <c r="X526" s="19" t="s">
        <v>713</v>
      </c>
      <c r="Y526" s="19" t="s">
        <v>713</v>
      </c>
      <c r="Z526" s="19" t="s">
        <v>2443</v>
      </c>
      <c r="AA526" s="19">
        <v>1</v>
      </c>
      <c r="AB526" s="19">
        <v>1</v>
      </c>
      <c r="AC526" s="19" t="s">
        <v>60</v>
      </c>
      <c r="AD526" s="19" t="s">
        <v>523</v>
      </c>
      <c r="AE526" s="19" t="s">
        <v>1876</v>
      </c>
      <c r="AF526" s="19"/>
    </row>
    <row r="527" spans="1:34">
      <c r="A527" s="19">
        <v>517</v>
      </c>
      <c r="B527" s="19" t="s">
        <v>1876</v>
      </c>
      <c r="C527" s="19" t="s">
        <v>407</v>
      </c>
      <c r="D527" s="19" t="str">
        <f>HYPERLINK("http://www.henontech.com/fieldsafety/harzard/harzard_show.php?rid=12605&amp;url=harzardrecs.php","东三行灯线散落，职工在操作中易踩到，造成行灯线绝缘层破损")</f>
        <v>东三行灯线散落，职工在操作中易踩到，造成行灯线绝缘层破损</v>
      </c>
      <c r="E527" s="19" t="s">
        <v>2444</v>
      </c>
      <c r="F527" s="20" t="s">
        <v>42</v>
      </c>
      <c r="G527" s="22" t="s">
        <v>66</v>
      </c>
      <c r="H527" s="19" t="s">
        <v>44</v>
      </c>
      <c r="I527" s="19" t="s">
        <v>45</v>
      </c>
      <c r="J527" s="19"/>
      <c r="K527" s="19"/>
      <c r="L527" s="19"/>
      <c r="M527" s="19" t="s">
        <v>285</v>
      </c>
      <c r="N527" s="19" t="s">
        <v>2445</v>
      </c>
      <c r="O527" s="19" t="s">
        <v>285</v>
      </c>
      <c r="P527" s="19" t="s">
        <v>410</v>
      </c>
      <c r="Q527" s="19" t="s">
        <v>2353</v>
      </c>
      <c r="R527" s="19" t="s">
        <v>701</v>
      </c>
      <c r="S527" s="19"/>
      <c r="T527" s="19" t="s">
        <v>100</v>
      </c>
      <c r="U527" s="19" t="s">
        <v>192</v>
      </c>
      <c r="V527" s="19" t="s">
        <v>56</v>
      </c>
      <c r="W527" s="19" t="s">
        <v>77</v>
      </c>
      <c r="X527" s="19" t="s">
        <v>58</v>
      </c>
      <c r="Y527" s="19"/>
      <c r="Z527" s="19" t="s">
        <v>2446</v>
      </c>
      <c r="AA527" s="19">
        <v>1</v>
      </c>
      <c r="AB527" s="19">
        <v>1</v>
      </c>
      <c r="AC527" s="19" t="s">
        <v>60</v>
      </c>
      <c r="AD527" s="19" t="s">
        <v>410</v>
      </c>
      <c r="AE527" s="19" t="s">
        <v>1876</v>
      </c>
      <c r="AF527" s="19"/>
    </row>
    <row r="528" spans="1:34" customHeight="1" ht="42">
      <c r="A528" s="19">
        <v>518</v>
      </c>
      <c r="B528" s="19" t="s">
        <v>1876</v>
      </c>
      <c r="C528" s="19" t="s">
        <v>2447</v>
      </c>
      <c r="D528" s="19" t="str">
        <f>HYPERLINK("http://www.henontech.com/fieldsafety/harzard/harzard_show.php?rid=12606&amp;url=harzardrecs.php","一名工人在打扫熄焦导轨卫生时，被导轨南头西侧翘起的穿线管绊倒，造成该工人手臂受伤，送医治疗")</f>
        <v>一名工人在打扫熄焦导轨卫生时，被导轨南头西侧翘起的穿线管绊倒，造成该工人手臂受伤，送医治疗</v>
      </c>
      <c r="E528" s="19" t="s">
        <v>2448</v>
      </c>
      <c r="F528" s="20" t="s">
        <v>42</v>
      </c>
      <c r="G528" s="21" t="s">
        <v>43</v>
      </c>
      <c r="H528" s="19" t="s">
        <v>44</v>
      </c>
      <c r="I528" s="19" t="s">
        <v>67</v>
      </c>
      <c r="J528" s="19" t="s">
        <v>401</v>
      </c>
      <c r="K528" s="19" t="s">
        <v>69</v>
      </c>
      <c r="L528" s="19" t="s">
        <v>48</v>
      </c>
      <c r="M528" s="19" t="s">
        <v>117</v>
      </c>
      <c r="N528" s="19" t="s">
        <v>438</v>
      </c>
      <c r="O528" s="19" t="s">
        <v>117</v>
      </c>
      <c r="P528" s="19" t="s">
        <v>224</v>
      </c>
      <c r="Q528" s="19" t="s">
        <v>2346</v>
      </c>
      <c r="R528" s="19" t="s">
        <v>2449</v>
      </c>
      <c r="S528" s="19"/>
      <c r="T528" s="19" t="s">
        <v>54</v>
      </c>
      <c r="U528" s="19" t="s">
        <v>55</v>
      </c>
      <c r="V528" s="19" t="s">
        <v>56</v>
      </c>
      <c r="W528" s="19" t="s">
        <v>57</v>
      </c>
      <c r="X528" s="19" t="s">
        <v>123</v>
      </c>
      <c r="Y528" s="19"/>
      <c r="Z528" s="19" t="s">
        <v>2450</v>
      </c>
      <c r="AA528" s="19">
        <v>2</v>
      </c>
      <c r="AB528" s="19">
        <v>2</v>
      </c>
      <c r="AC528" s="19" t="s">
        <v>60</v>
      </c>
      <c r="AD528" s="19" t="s">
        <v>224</v>
      </c>
      <c r="AE528" s="19" t="s">
        <v>1074</v>
      </c>
      <c r="AF528" s="19"/>
    </row>
    <row r="529" spans="1:34" customHeight="1" ht="42">
      <c r="A529" s="19">
        <v>519</v>
      </c>
      <c r="B529" s="19" t="s">
        <v>2289</v>
      </c>
      <c r="C529" s="19" t="s">
        <v>195</v>
      </c>
      <c r="D529" s="19" t="str">
        <f>HYPERLINK("http://www.henontech.com/fieldsafety/harzard/harzard_show.php?rid=12619&amp;url=harzardrecs.php","焦侧16#炉门横栓不到位，炉门意外掉落，砸伤一名在此干活的员工，随即紧急送医，经抢救无效死亡。")</f>
        <v>焦侧16#炉门横栓不到位，炉门意外掉落，砸伤一名在此干活的员工，随即紧急送医，经抢救无效死亡。</v>
      </c>
      <c r="E529" s="19" t="s">
        <v>1096</v>
      </c>
      <c r="F529" s="20" t="s">
        <v>42</v>
      </c>
      <c r="G529" s="23" t="s">
        <v>231</v>
      </c>
      <c r="H529" s="19" t="s">
        <v>44</v>
      </c>
      <c r="I529" s="19" t="s">
        <v>67</v>
      </c>
      <c r="J529" s="19" t="s">
        <v>46</v>
      </c>
      <c r="K529" s="19" t="s">
        <v>69</v>
      </c>
      <c r="L529" s="19" t="s">
        <v>48</v>
      </c>
      <c r="M529" s="19" t="s">
        <v>117</v>
      </c>
      <c r="N529" s="19" t="s">
        <v>739</v>
      </c>
      <c r="O529" s="19" t="s">
        <v>117</v>
      </c>
      <c r="P529" s="19" t="s">
        <v>1198</v>
      </c>
      <c r="Q529" s="19" t="s">
        <v>2346</v>
      </c>
      <c r="R529" s="19" t="s">
        <v>736</v>
      </c>
      <c r="S529" s="19"/>
      <c r="T529" s="19" t="s">
        <v>54</v>
      </c>
      <c r="U529" s="19" t="s">
        <v>121</v>
      </c>
      <c r="V529" s="19" t="s">
        <v>56</v>
      </c>
      <c r="W529" s="19" t="s">
        <v>122</v>
      </c>
      <c r="X529" s="19" t="s">
        <v>123</v>
      </c>
      <c r="Y529" s="19"/>
      <c r="Z529" s="19" t="s">
        <v>2451</v>
      </c>
      <c r="AA529" s="19">
        <v>2</v>
      </c>
      <c r="AB529" s="19">
        <v>2</v>
      </c>
      <c r="AC529" s="19" t="s">
        <v>60</v>
      </c>
      <c r="AD529" s="19" t="s">
        <v>1198</v>
      </c>
      <c r="AE529" s="19" t="s">
        <v>1202</v>
      </c>
      <c r="AF529" s="19"/>
    </row>
    <row r="530" spans="1:34" customHeight="1" ht="42">
      <c r="A530" s="19">
        <v>520</v>
      </c>
      <c r="B530" s="19" t="s">
        <v>2289</v>
      </c>
      <c r="C530" s="19" t="s">
        <v>2452</v>
      </c>
      <c r="D530" s="19" t="str">
        <f>HYPERLINK("http://www.henontech.com/fieldsafety/harzard/harzard_show.php?rid=12632&amp;url=harzardrecs.php","拦焦平台北头，61#碳化室处的道轨边上出现一个漏洞，一操作工在此干活时，一只脚不慎调入漏洞受伤，随即送医，经诊断为小腿骨折和皮肉划伤，住院治疗1月，回家休养3个月")</f>
        <v>拦焦平台北头，61#碳化室处的道轨边上出现一个漏洞，一操作工在此干活时，一只脚不慎调入漏洞受伤，随即送医，经诊断为小腿骨折和皮肉划伤，住院治疗1月，回家休养3个月</v>
      </c>
      <c r="E530" s="19" t="s">
        <v>2453</v>
      </c>
      <c r="F530" s="20" t="s">
        <v>42</v>
      </c>
      <c r="G530" s="21" t="s">
        <v>43</v>
      </c>
      <c r="H530" s="19" t="s">
        <v>44</v>
      </c>
      <c r="I530" s="19" t="s">
        <v>67</v>
      </c>
      <c r="J530" s="19" t="s">
        <v>46</v>
      </c>
      <c r="K530" s="19" t="s">
        <v>69</v>
      </c>
      <c r="L530" s="19" t="s">
        <v>48</v>
      </c>
      <c r="M530" s="19" t="s">
        <v>117</v>
      </c>
      <c r="N530" s="19" t="s">
        <v>2454</v>
      </c>
      <c r="O530" s="19" t="s">
        <v>117</v>
      </c>
      <c r="P530" s="19" t="s">
        <v>1198</v>
      </c>
      <c r="Q530" s="19" t="s">
        <v>2346</v>
      </c>
      <c r="R530" s="19" t="s">
        <v>2455</v>
      </c>
      <c r="S530" s="19"/>
      <c r="T530" s="19" t="s">
        <v>54</v>
      </c>
      <c r="U530" s="19" t="s">
        <v>55</v>
      </c>
      <c r="V530" s="19" t="s">
        <v>56</v>
      </c>
      <c r="W530" s="19" t="s">
        <v>57</v>
      </c>
      <c r="X530" s="19" t="s">
        <v>58</v>
      </c>
      <c r="Y530" s="19"/>
      <c r="Z530" s="19" t="s">
        <v>2456</v>
      </c>
      <c r="AA530" s="19">
        <v>2</v>
      </c>
      <c r="AB530" s="19">
        <v>2</v>
      </c>
      <c r="AC530" s="19" t="s">
        <v>60</v>
      </c>
      <c r="AD530" s="19" t="s">
        <v>1198</v>
      </c>
      <c r="AE530" s="19" t="s">
        <v>1080</v>
      </c>
      <c r="AF530" s="19"/>
    </row>
    <row r="531" spans="1:34">
      <c r="A531" s="19">
        <v>521</v>
      </c>
      <c r="B531" s="19" t="s">
        <v>2289</v>
      </c>
      <c r="C531" s="19" t="s">
        <v>2232</v>
      </c>
      <c r="D531" s="19" t="str">
        <f>HYPERLINK("http://www.henontech.com/fieldsafety/harzard/harzard_show.php?rid=12645&amp;url=harzardrecs.php","南风机1#初冷器煤气出口处，有一废弃钢管，距离地面2.5米，如果有一操作工巡检到此处，钢管突然坠落，砸中巡检工右肩部，造成右肩骨裂，送医治疗5天，在家休养三个月，损工96天。")</f>
        <v>南风机1#初冷器煤气出口处，有一废弃钢管，距离地面2.5米，如果有一操作工巡检到此处，钢管突然坠落，砸中巡检工右肩部，造成右肩骨裂，送医治疗5天，在家休养三个月，损工96天。</v>
      </c>
      <c r="E531" s="19" t="s">
        <v>2457</v>
      </c>
      <c r="F531" s="20" t="s">
        <v>42</v>
      </c>
      <c r="G531" s="21" t="s">
        <v>43</v>
      </c>
      <c r="H531" s="19" t="s">
        <v>44</v>
      </c>
      <c r="I531" s="19" t="s">
        <v>45</v>
      </c>
      <c r="J531" s="19" t="s">
        <v>46</v>
      </c>
      <c r="K531" s="19" t="s">
        <v>166</v>
      </c>
      <c r="L531" s="19" t="s">
        <v>48</v>
      </c>
      <c r="M531" s="19" t="s">
        <v>70</v>
      </c>
      <c r="N531" s="19" t="s">
        <v>1679</v>
      </c>
      <c r="O531" s="19" t="s">
        <v>70</v>
      </c>
      <c r="P531" s="19" t="s">
        <v>72</v>
      </c>
      <c r="Q531" s="19" t="s">
        <v>1322</v>
      </c>
      <c r="R531" s="19" t="s">
        <v>2458</v>
      </c>
      <c r="S531" s="19"/>
      <c r="T531" s="19" t="s">
        <v>54</v>
      </c>
      <c r="U531" s="19" t="s">
        <v>55</v>
      </c>
      <c r="V531" s="19" t="s">
        <v>56</v>
      </c>
      <c r="W531" s="19" t="s">
        <v>57</v>
      </c>
      <c r="X531" s="19"/>
      <c r="Y531" s="19"/>
      <c r="Z531" s="19" t="s">
        <v>2459</v>
      </c>
      <c r="AA531" s="19">
        <v>1</v>
      </c>
      <c r="AB531" s="19">
        <v>1</v>
      </c>
      <c r="AC531" s="19" t="s">
        <v>60</v>
      </c>
      <c r="AD531" s="19" t="s">
        <v>72</v>
      </c>
      <c r="AE531" s="19" t="s">
        <v>2171</v>
      </c>
      <c r="AF531" s="19"/>
    </row>
    <row r="532" spans="1:34" customHeight="1" ht="42">
      <c r="A532" s="19">
        <v>522</v>
      </c>
      <c r="B532" s="19" t="s">
        <v>2289</v>
      </c>
      <c r="C532" s="19" t="s">
        <v>195</v>
      </c>
      <c r="D532" s="19" t="str">
        <f>HYPERLINK("http://www.henontech.com/fieldsafety/harzard/harzard_show.php?rid=12654&amp;url=harzardrecs.php","筛焦楼西侧，除尘箱体顶层爬梯扶手开焊，1操作工在爬爬梯时，手抓的爬梯扶手脱落，人员不慎从8米多高爬梯掉落受伤，紧急送医，经抢救无效死亡。")</f>
        <v>筛焦楼西侧，除尘箱体顶层爬梯扶手开焊，1操作工在爬爬梯时，手抓的爬梯扶手脱落，人员不慎从8米多高爬梯掉落受伤，紧急送医，经抢救无效死亡。</v>
      </c>
      <c r="E532" s="19" t="s">
        <v>1096</v>
      </c>
      <c r="F532" s="20" t="s">
        <v>42</v>
      </c>
      <c r="G532" s="22" t="s">
        <v>66</v>
      </c>
      <c r="H532" s="19" t="s">
        <v>44</v>
      </c>
      <c r="I532" s="19" t="s">
        <v>67</v>
      </c>
      <c r="J532" s="19" t="s">
        <v>46</v>
      </c>
      <c r="K532" s="19" t="s">
        <v>166</v>
      </c>
      <c r="L532" s="19" t="s">
        <v>48</v>
      </c>
      <c r="M532" s="19" t="s">
        <v>117</v>
      </c>
      <c r="N532" s="19" t="s">
        <v>2460</v>
      </c>
      <c r="O532" s="19" t="s">
        <v>117</v>
      </c>
      <c r="P532" s="19" t="s">
        <v>224</v>
      </c>
      <c r="Q532" s="19" t="s">
        <v>2346</v>
      </c>
      <c r="R532" s="19" t="s">
        <v>2461</v>
      </c>
      <c r="S532" s="19"/>
      <c r="T532" s="19" t="s">
        <v>54</v>
      </c>
      <c r="U532" s="19" t="s">
        <v>121</v>
      </c>
      <c r="V532" s="19" t="s">
        <v>56</v>
      </c>
      <c r="W532" s="19" t="s">
        <v>122</v>
      </c>
      <c r="X532" s="19" t="s">
        <v>58</v>
      </c>
      <c r="Y532" s="19"/>
      <c r="Z532" s="19" t="s">
        <v>1509</v>
      </c>
      <c r="AA532" s="19">
        <v>2</v>
      </c>
      <c r="AB532" s="19">
        <v>2</v>
      </c>
      <c r="AC532" s="19" t="s">
        <v>60</v>
      </c>
      <c r="AD532" s="19" t="s">
        <v>224</v>
      </c>
      <c r="AE532" s="19" t="s">
        <v>1080</v>
      </c>
      <c r="AF532" s="19"/>
    </row>
    <row r="533" spans="1:34">
      <c r="A533" s="19">
        <v>523</v>
      </c>
      <c r="B533" s="19" t="s">
        <v>2289</v>
      </c>
      <c r="C533" s="19" t="s">
        <v>2462</v>
      </c>
      <c r="D533" s="19" t="str">
        <f>HYPERLINK("http://www.henontech.com/fieldsafety/harzard/harzard_show.php?rid=12660&amp;url=harzardrecs.php","爬梯没有设置安全标识")</f>
        <v>爬梯没有设置安全标识</v>
      </c>
      <c r="E533" s="19" t="s">
        <v>2463</v>
      </c>
      <c r="F533" s="24" t="s">
        <v>387</v>
      </c>
      <c r="G533" s="21" t="s">
        <v>43</v>
      </c>
      <c r="H533" s="19" t="s">
        <v>44</v>
      </c>
      <c r="I533" s="19" t="s">
        <v>45</v>
      </c>
      <c r="J533" s="19" t="s">
        <v>68</v>
      </c>
      <c r="K533" s="19" t="s">
        <v>47</v>
      </c>
      <c r="L533" s="19" t="s">
        <v>48</v>
      </c>
      <c r="M533" s="19" t="s">
        <v>84</v>
      </c>
      <c r="N533" s="19" t="s">
        <v>1971</v>
      </c>
      <c r="O533" s="19"/>
      <c r="P533" s="19"/>
      <c r="Q533" s="19"/>
      <c r="R533" s="19" t="s">
        <v>84</v>
      </c>
      <c r="S533" s="19" t="s">
        <v>2095</v>
      </c>
      <c r="T533" s="19" t="s">
        <v>54</v>
      </c>
      <c r="U533" s="19" t="s">
        <v>75</v>
      </c>
      <c r="V533" s="19" t="s">
        <v>56</v>
      </c>
      <c r="W533" s="19" t="s">
        <v>138</v>
      </c>
      <c r="X533" s="19"/>
      <c r="Y533" s="19"/>
      <c r="Z533" s="19"/>
      <c r="AA533" s="19">
        <v>0</v>
      </c>
      <c r="AB533" s="19"/>
      <c r="AC533" s="19" t="s">
        <v>392</v>
      </c>
      <c r="AD533" s="19"/>
      <c r="AE533" s="19"/>
      <c r="AF533" s="19"/>
    </row>
    <row r="534" spans="1:34" customHeight="1" ht="42">
      <c r="A534" s="19">
        <v>524</v>
      </c>
      <c r="B534" s="19" t="s">
        <v>2289</v>
      </c>
      <c r="C534" s="19" t="s">
        <v>2447</v>
      </c>
      <c r="D534" s="19" t="str">
        <f>HYPERLINK("http://www.henontech.com/fieldsafety/harzard/harzard_show.php?rid=12661&amp;url=harzardrecs.php","一操作工夜间巡检经过时，被外露的残留底座绊倒摔伤，造成手臂骨折，住院治疗10天，休养2个月。")</f>
        <v>一操作工夜间巡检经过时，被外露的残留底座绊倒摔伤，造成手臂骨折，住院治疗10天，休养2个月。</v>
      </c>
      <c r="E534" s="19" t="s">
        <v>2464</v>
      </c>
      <c r="F534" s="20" t="s">
        <v>42</v>
      </c>
      <c r="G534" s="21" t="s">
        <v>43</v>
      </c>
      <c r="H534" s="19" t="s">
        <v>44</v>
      </c>
      <c r="I534" s="19" t="s">
        <v>67</v>
      </c>
      <c r="J534" s="19" t="s">
        <v>46</v>
      </c>
      <c r="K534" s="19" t="s">
        <v>69</v>
      </c>
      <c r="L534" s="19" t="s">
        <v>48</v>
      </c>
      <c r="M534" s="19" t="s">
        <v>117</v>
      </c>
      <c r="N534" s="19" t="s">
        <v>1097</v>
      </c>
      <c r="O534" s="19" t="s">
        <v>117</v>
      </c>
      <c r="P534" s="19" t="s">
        <v>224</v>
      </c>
      <c r="Q534" s="19" t="s">
        <v>2346</v>
      </c>
      <c r="R534" s="19" t="s">
        <v>2465</v>
      </c>
      <c r="S534" s="19"/>
      <c r="T534" s="19" t="s">
        <v>54</v>
      </c>
      <c r="U534" s="19" t="s">
        <v>55</v>
      </c>
      <c r="V534" s="19" t="s">
        <v>56</v>
      </c>
      <c r="W534" s="19" t="s">
        <v>57</v>
      </c>
      <c r="X534" s="19" t="s">
        <v>123</v>
      </c>
      <c r="Y534" s="19"/>
      <c r="Z534" s="19" t="s">
        <v>2466</v>
      </c>
      <c r="AA534" s="19">
        <v>2</v>
      </c>
      <c r="AB534" s="19">
        <v>2</v>
      </c>
      <c r="AC534" s="19" t="s">
        <v>60</v>
      </c>
      <c r="AD534" s="19" t="s">
        <v>224</v>
      </c>
      <c r="AE534" s="19" t="s">
        <v>1202</v>
      </c>
      <c r="AF534" s="19"/>
    </row>
    <row r="535" spans="1:34">
      <c r="A535" s="19">
        <v>525</v>
      </c>
      <c r="B535" s="19" t="s">
        <v>2289</v>
      </c>
      <c r="C535" s="19" t="s">
        <v>2119</v>
      </c>
      <c r="D535" s="19" t="str">
        <f>HYPERLINK("http://www.henontech.com/fieldsafety/harzard/harzard_show.php?rid=12667&amp;url=harzardrecs.php","老化学水盘式过滤器处接地线翘起，一操作工夜间巡检经过时，被翘起的接地线绊倒，右前臂摔伤，送医院治疗。")</f>
        <v>老化学水盘式过滤器处接地线翘起，一操作工夜间巡检经过时，被翘起的接地线绊倒，右前臂摔伤，送医院治疗。</v>
      </c>
      <c r="E535" s="19" t="s">
        <v>2467</v>
      </c>
      <c r="F535" s="24" t="s">
        <v>387</v>
      </c>
      <c r="G535" s="21" t="s">
        <v>43</v>
      </c>
      <c r="H535" s="19" t="s">
        <v>44</v>
      </c>
      <c r="I535" s="19" t="s">
        <v>45</v>
      </c>
      <c r="J535" s="19" t="s">
        <v>46</v>
      </c>
      <c r="K535" s="19" t="s">
        <v>145</v>
      </c>
      <c r="L535" s="19"/>
      <c r="M535" s="19" t="s">
        <v>84</v>
      </c>
      <c r="N535" s="19" t="s">
        <v>2468</v>
      </c>
      <c r="O535" s="19"/>
      <c r="P535" s="19"/>
      <c r="Q535" s="19"/>
      <c r="R535" s="19" t="s">
        <v>2469</v>
      </c>
      <c r="S535" s="19" t="s">
        <v>2095</v>
      </c>
      <c r="T535" s="19" t="s">
        <v>54</v>
      </c>
      <c r="U535" s="19" t="s">
        <v>75</v>
      </c>
      <c r="V535" s="19" t="s">
        <v>56</v>
      </c>
      <c r="W535" s="19" t="s">
        <v>138</v>
      </c>
      <c r="X535" s="19"/>
      <c r="Y535" s="19"/>
      <c r="Z535" s="19"/>
      <c r="AA535" s="19">
        <v>0</v>
      </c>
      <c r="AB535" s="19"/>
      <c r="AC535" s="19" t="s">
        <v>392</v>
      </c>
      <c r="AD535" s="19"/>
      <c r="AE535" s="19"/>
      <c r="AF535" s="19"/>
    </row>
    <row r="536" spans="1:34" customHeight="1" ht="42">
      <c r="A536" s="19">
        <v>526</v>
      </c>
      <c r="B536" s="19" t="s">
        <v>2289</v>
      </c>
      <c r="C536" s="19" t="s">
        <v>2005</v>
      </c>
      <c r="D536" s="19" t="str">
        <f>HYPERLINK("http://www.henontech.com/fieldsafety/harzard/harzard_show.php?rid=12715&amp;url=harzardrecs.php","爬梯处照明灯不亮")</f>
        <v>爬梯处照明灯不亮</v>
      </c>
      <c r="E536" s="19" t="s">
        <v>2470</v>
      </c>
      <c r="F536" s="20" t="s">
        <v>42</v>
      </c>
      <c r="G536" s="21" t="s">
        <v>43</v>
      </c>
      <c r="H536" s="19" t="s">
        <v>44</v>
      </c>
      <c r="I536" s="19" t="s">
        <v>67</v>
      </c>
      <c r="J536" s="19" t="s">
        <v>46</v>
      </c>
      <c r="K536" s="19" t="s">
        <v>47</v>
      </c>
      <c r="L536" s="19" t="s">
        <v>48</v>
      </c>
      <c r="M536" s="19" t="s">
        <v>285</v>
      </c>
      <c r="N536" s="19" t="s">
        <v>2471</v>
      </c>
      <c r="O536" s="19" t="s">
        <v>285</v>
      </c>
      <c r="P536" s="19" t="s">
        <v>617</v>
      </c>
      <c r="Q536" s="19" t="s">
        <v>1322</v>
      </c>
      <c r="R536" s="19" t="s">
        <v>2472</v>
      </c>
      <c r="S536" s="19"/>
      <c r="T536" s="19" t="s">
        <v>54</v>
      </c>
      <c r="U536" s="19" t="s">
        <v>75</v>
      </c>
      <c r="V536" s="19" t="s">
        <v>271</v>
      </c>
      <c r="W536" s="19" t="s">
        <v>57</v>
      </c>
      <c r="X536" s="19" t="s">
        <v>235</v>
      </c>
      <c r="Y536" s="19" t="s">
        <v>235</v>
      </c>
      <c r="Z536" s="19" t="s">
        <v>2473</v>
      </c>
      <c r="AA536" s="19">
        <v>2</v>
      </c>
      <c r="AB536" s="19">
        <v>2</v>
      </c>
      <c r="AC536" s="19" t="s">
        <v>60</v>
      </c>
      <c r="AD536" s="19" t="s">
        <v>617</v>
      </c>
      <c r="AE536" s="19" t="s">
        <v>2474</v>
      </c>
      <c r="AF536" s="19"/>
    </row>
    <row r="537" spans="1:34">
      <c r="A537" s="19">
        <v>527</v>
      </c>
      <c r="B537" s="19" t="s">
        <v>2289</v>
      </c>
      <c r="C537" s="19" t="s">
        <v>407</v>
      </c>
      <c r="D537" s="19" t="str">
        <f>HYPERLINK("http://www.henontech.com/fieldsafety/harzard/harzard_show.php?rid=12717&amp;url=harzardrecs.php","煤棚西侧水沟一盖板缺失，职工途经时，一旦不慎掉入，会造成小腿轻微擦伤，到医务室敷药后回到岗位继续工作。")</f>
        <v>煤棚西侧水沟一盖板缺失，职工途经时，一旦不慎掉入，会造成小腿轻微擦伤，到医务室敷药后回到岗位继续工作。</v>
      </c>
      <c r="E537" s="19" t="s">
        <v>2475</v>
      </c>
      <c r="F537" s="20" t="s">
        <v>42</v>
      </c>
      <c r="G537" s="21" t="s">
        <v>43</v>
      </c>
      <c r="H537" s="19" t="s">
        <v>44</v>
      </c>
      <c r="I537" s="19" t="s">
        <v>45</v>
      </c>
      <c r="J537" s="19" t="s">
        <v>46</v>
      </c>
      <c r="K537" s="19" t="s">
        <v>69</v>
      </c>
      <c r="L537" s="19" t="s">
        <v>573</v>
      </c>
      <c r="M537" s="19" t="s">
        <v>285</v>
      </c>
      <c r="N537" s="19" t="s">
        <v>2476</v>
      </c>
      <c r="O537" s="19" t="s">
        <v>285</v>
      </c>
      <c r="P537" s="19" t="s">
        <v>419</v>
      </c>
      <c r="Q537" s="19" t="s">
        <v>2221</v>
      </c>
      <c r="R537" s="19" t="s">
        <v>2477</v>
      </c>
      <c r="S537" s="19"/>
      <c r="T537" s="19" t="s">
        <v>54</v>
      </c>
      <c r="U537" s="19" t="s">
        <v>75</v>
      </c>
      <c r="V537" s="19" t="s">
        <v>56</v>
      </c>
      <c r="W537" s="19" t="s">
        <v>138</v>
      </c>
      <c r="X537" s="19"/>
      <c r="Y537" s="19"/>
      <c r="Z537" s="19" t="s">
        <v>2478</v>
      </c>
      <c r="AA537" s="19">
        <v>1</v>
      </c>
      <c r="AB537" s="19">
        <v>1</v>
      </c>
      <c r="AC537" s="19" t="s">
        <v>60</v>
      </c>
      <c r="AD537" s="19" t="s">
        <v>419</v>
      </c>
      <c r="AE537" s="19" t="s">
        <v>2221</v>
      </c>
      <c r="AF537" s="19"/>
    </row>
    <row r="538" spans="1:34">
      <c r="A538" s="19">
        <v>528</v>
      </c>
      <c r="B538" s="19" t="s">
        <v>2289</v>
      </c>
      <c r="C538" s="19" t="s">
        <v>1387</v>
      </c>
      <c r="D538" s="19" t="str">
        <f>HYPERLINK("http://www.henontech.com/fieldsafety/harzard/harzard_show.php?rid=12721&amp;url=harzardrecs.php","母液加温器蒸汽阀门垫子坏，蒸汽外漏喷出，若一名维修工在更换阀门垫子时被喷出蒸汽烫伤右手臂，简单处理后正常上班！")</f>
        <v>母液加温器蒸汽阀门垫子坏，蒸汽外漏喷出，若一名维修工在更换阀门垫子时被喷出蒸汽烫伤右手臂，简单处理后正常上班！</v>
      </c>
      <c r="E538" s="19" t="s">
        <v>2479</v>
      </c>
      <c r="F538" s="20" t="s">
        <v>42</v>
      </c>
      <c r="G538" s="21" t="s">
        <v>43</v>
      </c>
      <c r="H538" s="19" t="s">
        <v>44</v>
      </c>
      <c r="I538" s="19" t="s">
        <v>67</v>
      </c>
      <c r="J538" s="19" t="s">
        <v>93</v>
      </c>
      <c r="K538" s="19" t="s">
        <v>47</v>
      </c>
      <c r="L538" s="19" t="s">
        <v>48</v>
      </c>
      <c r="M538" s="19" t="s">
        <v>70</v>
      </c>
      <c r="N538" s="19" t="s">
        <v>425</v>
      </c>
      <c r="O538" s="19" t="s">
        <v>70</v>
      </c>
      <c r="P538" s="19" t="s">
        <v>72</v>
      </c>
      <c r="Q538" s="19" t="s">
        <v>1322</v>
      </c>
      <c r="R538" s="19" t="s">
        <v>2480</v>
      </c>
      <c r="S538" s="19"/>
      <c r="T538" s="19" t="s">
        <v>54</v>
      </c>
      <c r="U538" s="19" t="s">
        <v>75</v>
      </c>
      <c r="V538" s="19" t="s">
        <v>56</v>
      </c>
      <c r="W538" s="19" t="s">
        <v>138</v>
      </c>
      <c r="X538" s="19"/>
      <c r="Y538" s="19"/>
      <c r="Z538" s="19" t="s">
        <v>2481</v>
      </c>
      <c r="AA538" s="19">
        <v>1</v>
      </c>
      <c r="AB538" s="19">
        <v>1</v>
      </c>
      <c r="AC538" s="19" t="s">
        <v>60</v>
      </c>
      <c r="AD538" s="19" t="s">
        <v>72</v>
      </c>
      <c r="AE538" s="19" t="s">
        <v>2171</v>
      </c>
      <c r="AF538" s="19"/>
    </row>
    <row r="539" spans="1:34">
      <c r="A539" s="19">
        <v>529</v>
      </c>
      <c r="B539" s="19" t="s">
        <v>2289</v>
      </c>
      <c r="C539" s="19" t="s">
        <v>2140</v>
      </c>
      <c r="D539" s="19" t="str">
        <f>HYPERLINK("http://www.henontech.com/fieldsafety/harzard/harzard_show.php?rid=12722&amp;url=harzardrecs.php","锅炉2楼平台与播煤风手柄距离过大，操作工开播煤风时，不慎掉落")</f>
        <v>锅炉2楼平台与播煤风手柄距离过大，操作工开播煤风时，不慎掉落</v>
      </c>
      <c r="E539" s="19" t="s">
        <v>2482</v>
      </c>
      <c r="F539" s="24" t="s">
        <v>387</v>
      </c>
      <c r="G539" s="21" t="s">
        <v>43</v>
      </c>
      <c r="H539" s="19" t="s">
        <v>974</v>
      </c>
      <c r="I539" s="19" t="s">
        <v>67</v>
      </c>
      <c r="J539" s="19" t="s">
        <v>46</v>
      </c>
      <c r="K539" s="19" t="s">
        <v>166</v>
      </c>
      <c r="L539" s="19" t="s">
        <v>48</v>
      </c>
      <c r="M539" s="19" t="s">
        <v>84</v>
      </c>
      <c r="N539" s="19" t="s">
        <v>2076</v>
      </c>
      <c r="O539" s="19"/>
      <c r="P539" s="19"/>
      <c r="Q539" s="19"/>
      <c r="R539" s="19" t="s">
        <v>2483</v>
      </c>
      <c r="S539" s="19" t="s">
        <v>2095</v>
      </c>
      <c r="T539" s="19" t="s">
        <v>54</v>
      </c>
      <c r="U539" s="19" t="s">
        <v>55</v>
      </c>
      <c r="V539" s="19" t="s">
        <v>56</v>
      </c>
      <c r="W539" s="19" t="s">
        <v>57</v>
      </c>
      <c r="X539" s="19"/>
      <c r="Y539" s="19"/>
      <c r="Z539" s="19"/>
      <c r="AA539" s="19">
        <v>0</v>
      </c>
      <c r="AB539" s="19"/>
      <c r="AC539" s="19" t="s">
        <v>392</v>
      </c>
      <c r="AD539" s="19"/>
      <c r="AE539" s="19"/>
      <c r="AF539" s="19"/>
    </row>
    <row r="540" spans="1:34">
      <c r="A540" s="19">
        <v>530</v>
      </c>
      <c r="B540" s="19" t="s">
        <v>2289</v>
      </c>
      <c r="C540" s="19" t="s">
        <v>1925</v>
      </c>
      <c r="D540" s="19" t="str">
        <f>HYPERLINK("http://www.henontech.com/fieldsafety/harzard/harzard_show.php?rid=12727&amp;url=harzardrecs.php","岗位用的钎子没有按要求定置摆放，一旦皮带机运行时钎子掉落皮带上，造成皮带划伤")</f>
        <v>岗位用的钎子没有按要求定置摆放，一旦皮带机运行时钎子掉落皮带上，造成皮带划伤</v>
      </c>
      <c r="E540" s="19" t="s">
        <v>2237</v>
      </c>
      <c r="F540" s="20" t="s">
        <v>42</v>
      </c>
      <c r="G540" s="21" t="s">
        <v>43</v>
      </c>
      <c r="H540" s="19" t="s">
        <v>44</v>
      </c>
      <c r="I540" s="19" t="s">
        <v>45</v>
      </c>
      <c r="J540" s="19"/>
      <c r="K540" s="19"/>
      <c r="L540" s="19" t="s">
        <v>48</v>
      </c>
      <c r="M540" s="19" t="s">
        <v>285</v>
      </c>
      <c r="N540" s="19" t="s">
        <v>2484</v>
      </c>
      <c r="O540" s="19" t="s">
        <v>285</v>
      </c>
      <c r="P540" s="19" t="s">
        <v>410</v>
      </c>
      <c r="Q540" s="19" t="s">
        <v>2485</v>
      </c>
      <c r="R540" s="19" t="s">
        <v>2050</v>
      </c>
      <c r="S540" s="19"/>
      <c r="T540" s="19" t="s">
        <v>100</v>
      </c>
      <c r="U540" s="19" t="s">
        <v>192</v>
      </c>
      <c r="V540" s="19" t="s">
        <v>56</v>
      </c>
      <c r="W540" s="19" t="s">
        <v>77</v>
      </c>
      <c r="X540" s="19"/>
      <c r="Y540" s="19"/>
      <c r="Z540" s="19" t="s">
        <v>2486</v>
      </c>
      <c r="AA540" s="19">
        <v>1</v>
      </c>
      <c r="AB540" s="19">
        <v>1</v>
      </c>
      <c r="AC540" s="19" t="s">
        <v>60</v>
      </c>
      <c r="AD540" s="19" t="s">
        <v>410</v>
      </c>
      <c r="AE540" s="19" t="s">
        <v>2171</v>
      </c>
      <c r="AF540" s="19"/>
    </row>
    <row r="541" spans="1:34">
      <c r="A541" s="19">
        <v>531</v>
      </c>
      <c r="B541" s="19" t="s">
        <v>2171</v>
      </c>
      <c r="C541" s="19" t="s">
        <v>2236</v>
      </c>
      <c r="D541" s="19" t="str">
        <f>HYPERLINK("http://www.henontech.com/fieldsafety/harzard/harzard_show.php?rid=12742&amp;url=harzardrecs.php","7#煤气水封盖板未复位，操作工在巡检时，一旦掉入水池内会造成人员伤害！")</f>
        <v>7#煤气水封盖板未复位，操作工在巡检时，一旦掉入水池内会造成人员伤害！</v>
      </c>
      <c r="E541" s="19" t="s">
        <v>2487</v>
      </c>
      <c r="F541" s="20" t="s">
        <v>42</v>
      </c>
      <c r="G541" s="22" t="s">
        <v>66</v>
      </c>
      <c r="H541" s="19" t="s">
        <v>44</v>
      </c>
      <c r="I541" s="19" t="s">
        <v>45</v>
      </c>
      <c r="J541" s="19" t="s">
        <v>68</v>
      </c>
      <c r="K541" s="19" t="s">
        <v>47</v>
      </c>
      <c r="L541" s="19" t="s">
        <v>48</v>
      </c>
      <c r="M541" s="19" t="s">
        <v>285</v>
      </c>
      <c r="N541" s="19" t="s">
        <v>2488</v>
      </c>
      <c r="O541" s="19" t="s">
        <v>285</v>
      </c>
      <c r="P541" s="19" t="s">
        <v>410</v>
      </c>
      <c r="Q541" s="19" t="s">
        <v>2485</v>
      </c>
      <c r="R541" s="19" t="s">
        <v>2489</v>
      </c>
      <c r="S541" s="19"/>
      <c r="T541" s="19" t="s">
        <v>54</v>
      </c>
      <c r="U541" s="19" t="s">
        <v>75</v>
      </c>
      <c r="V541" s="19" t="s">
        <v>101</v>
      </c>
      <c r="W541" s="19" t="s">
        <v>77</v>
      </c>
      <c r="X541" s="19"/>
      <c r="Y541" s="19"/>
      <c r="Z541" s="19" t="s">
        <v>2490</v>
      </c>
      <c r="AA541" s="19">
        <v>1</v>
      </c>
      <c r="AB541" s="19">
        <v>1</v>
      </c>
      <c r="AC541" s="19" t="s">
        <v>60</v>
      </c>
      <c r="AD541" s="19" t="s">
        <v>410</v>
      </c>
      <c r="AE541" s="19" t="s">
        <v>2171</v>
      </c>
      <c r="AF541" s="19"/>
    </row>
    <row r="542" spans="1:34">
      <c r="A542" s="19">
        <v>532</v>
      </c>
      <c r="B542" s="19" t="s">
        <v>2171</v>
      </c>
      <c r="C542" s="19" t="s">
        <v>2224</v>
      </c>
      <c r="D542" s="19" t="str">
        <f>HYPERLINK("http://www.henontech.com/fieldsafety/harzard/harzard_show.php?rid=12765&amp;url=harzardrecs.php","一名巡检工巡检循环水泵时，因电缆杂乱造成绊倒，造成手部受伤，送医院治疗")</f>
        <v>一名巡检工巡检循环水泵时，因电缆杂乱造成绊倒，造成手部受伤，送医院治疗</v>
      </c>
      <c r="E542" s="19" t="s">
        <v>2491</v>
      </c>
      <c r="F542" s="24" t="s">
        <v>387</v>
      </c>
      <c r="G542" s="21" t="s">
        <v>43</v>
      </c>
      <c r="H542" s="19" t="s">
        <v>44</v>
      </c>
      <c r="I542" s="19" t="s">
        <v>45</v>
      </c>
      <c r="J542" s="19" t="s">
        <v>46</v>
      </c>
      <c r="K542" s="19" t="s">
        <v>69</v>
      </c>
      <c r="L542" s="19"/>
      <c r="M542" s="19" t="s">
        <v>84</v>
      </c>
      <c r="N542" s="19" t="s">
        <v>2492</v>
      </c>
      <c r="O542" s="19"/>
      <c r="P542" s="19"/>
      <c r="Q542" s="19"/>
      <c r="R542" s="19" t="s">
        <v>2493</v>
      </c>
      <c r="S542" s="19" t="s">
        <v>2095</v>
      </c>
      <c r="T542" s="19" t="s">
        <v>54</v>
      </c>
      <c r="U542" s="19" t="s">
        <v>55</v>
      </c>
      <c r="V542" s="19" t="s">
        <v>56</v>
      </c>
      <c r="W542" s="19" t="s">
        <v>57</v>
      </c>
      <c r="X542" s="19"/>
      <c r="Y542" s="19"/>
      <c r="Z542" s="19"/>
      <c r="AA542" s="19">
        <v>0</v>
      </c>
      <c r="AB542" s="19"/>
      <c r="AC542" s="19" t="s">
        <v>392</v>
      </c>
      <c r="AD542" s="19"/>
      <c r="AE542" s="19"/>
      <c r="AF542" s="19"/>
    </row>
    <row r="543" spans="1:34">
      <c r="A543" s="19">
        <v>533</v>
      </c>
      <c r="B543" s="19" t="s">
        <v>2171</v>
      </c>
      <c r="C543" s="19" t="s">
        <v>2236</v>
      </c>
      <c r="D543" s="19" t="str">
        <f>HYPERLINK("http://www.henontech.com/fieldsafety/harzard/harzard_show.php?rid=12785&amp;url=harzardrecs.php","电缆线架上有架物，掉落时砸伤员工，造成伤害")</f>
        <v>电缆线架上有架物，掉落时砸伤员工，造成伤害</v>
      </c>
      <c r="E543" s="19" t="s">
        <v>2494</v>
      </c>
      <c r="F543" s="20" t="s">
        <v>42</v>
      </c>
      <c r="G543" s="21" t="s">
        <v>43</v>
      </c>
      <c r="H543" s="19" t="s">
        <v>44</v>
      </c>
      <c r="I543" s="19" t="s">
        <v>45</v>
      </c>
      <c r="J543" s="19" t="s">
        <v>46</v>
      </c>
      <c r="K543" s="19" t="s">
        <v>145</v>
      </c>
      <c r="L543" s="19" t="s">
        <v>48</v>
      </c>
      <c r="M543" s="19" t="s">
        <v>285</v>
      </c>
      <c r="N543" s="19" t="s">
        <v>2495</v>
      </c>
      <c r="O543" s="19" t="s">
        <v>285</v>
      </c>
      <c r="P543" s="19" t="s">
        <v>410</v>
      </c>
      <c r="Q543" s="19" t="s">
        <v>2485</v>
      </c>
      <c r="R543" s="19" t="s">
        <v>2315</v>
      </c>
      <c r="S543" s="19"/>
      <c r="T543" s="19" t="s">
        <v>54</v>
      </c>
      <c r="U543" s="19" t="s">
        <v>75</v>
      </c>
      <c r="V543" s="19" t="s">
        <v>101</v>
      </c>
      <c r="W543" s="19" t="s">
        <v>77</v>
      </c>
      <c r="X543" s="19"/>
      <c r="Y543" s="19"/>
      <c r="Z543" s="19" t="s">
        <v>2496</v>
      </c>
      <c r="AA543" s="19">
        <v>1</v>
      </c>
      <c r="AB543" s="19">
        <v>1</v>
      </c>
      <c r="AC543" s="19" t="s">
        <v>60</v>
      </c>
      <c r="AD543" s="19" t="s">
        <v>410</v>
      </c>
      <c r="AE543" s="19" t="s">
        <v>2171</v>
      </c>
      <c r="AF543" s="19"/>
    </row>
    <row r="544" spans="1:34" customHeight="1" ht="42">
      <c r="A544" s="19">
        <v>534</v>
      </c>
      <c r="B544" s="19" t="s">
        <v>2171</v>
      </c>
      <c r="C544" s="19" t="s">
        <v>2497</v>
      </c>
      <c r="D544" s="19" t="str">
        <f>HYPERLINK("http://www.henontech.com/fieldsafety/harzard/harzard_show.php?rid=12792&amp;url=harzardrecs.php","蒸汽管线疏水伐盖板缺失")</f>
        <v>蒸汽管线疏水伐盖板缺失</v>
      </c>
      <c r="E544" s="19" t="s">
        <v>2498</v>
      </c>
      <c r="F544" s="25" t="s">
        <v>1853</v>
      </c>
      <c r="G544" s="21" t="s">
        <v>43</v>
      </c>
      <c r="H544" s="19" t="s">
        <v>44</v>
      </c>
      <c r="I544" s="19" t="s">
        <v>45</v>
      </c>
      <c r="J544" s="19" t="s">
        <v>68</v>
      </c>
      <c r="K544" s="19" t="s">
        <v>47</v>
      </c>
      <c r="L544" s="19" t="s">
        <v>48</v>
      </c>
      <c r="M544" s="19" t="s">
        <v>84</v>
      </c>
      <c r="N544" s="19" t="s">
        <v>2499</v>
      </c>
      <c r="O544" s="19" t="s">
        <v>84</v>
      </c>
      <c r="P544" s="19" t="s">
        <v>85</v>
      </c>
      <c r="Q544" s="19" t="s">
        <v>2132</v>
      </c>
      <c r="R544" s="19" t="s">
        <v>84</v>
      </c>
      <c r="S544" s="19"/>
      <c r="T544" s="19" t="s">
        <v>54</v>
      </c>
      <c r="U544" s="19" t="s">
        <v>75</v>
      </c>
      <c r="V544" s="19" t="s">
        <v>271</v>
      </c>
      <c r="W544" s="19" t="s">
        <v>57</v>
      </c>
      <c r="X544" s="19" t="s">
        <v>58</v>
      </c>
      <c r="Y544" s="19"/>
      <c r="Z544" s="19" t="s">
        <v>2134</v>
      </c>
      <c r="AA544" s="19">
        <v>2</v>
      </c>
      <c r="AB544" s="19"/>
      <c r="AC544" s="19" t="s">
        <v>392</v>
      </c>
      <c r="AD544" s="19"/>
      <c r="AE544" s="19"/>
      <c r="AF544" s="19"/>
    </row>
    <row r="545" spans="1:34">
      <c r="A545" s="19">
        <v>535</v>
      </c>
      <c r="B545" s="19" t="s">
        <v>2171</v>
      </c>
      <c r="C545" s="19" t="s">
        <v>1925</v>
      </c>
      <c r="D545" s="19" t="str">
        <f>HYPERLINK("http://www.henontech.com/fieldsafety/harzard/harzard_show.php?rid=12873&amp;url=harzardrecs.php","东四南侧吊装门未关，一名操作工经过爬梯时，头部碰到门上，造成头部磕伤，送医务室包扎处理，回岗位继续工作。")</f>
        <v>东四南侧吊装门未关，一名操作工经过爬梯时，头部碰到门上，造成头部磕伤，送医务室包扎处理，回岗位继续工作。</v>
      </c>
      <c r="E545" s="19" t="s">
        <v>2500</v>
      </c>
      <c r="F545" s="20" t="s">
        <v>42</v>
      </c>
      <c r="G545" s="21" t="s">
        <v>43</v>
      </c>
      <c r="H545" s="19" t="s">
        <v>44</v>
      </c>
      <c r="I545" s="19" t="s">
        <v>45</v>
      </c>
      <c r="J545" s="19" t="s">
        <v>46</v>
      </c>
      <c r="K545" s="19" t="s">
        <v>47</v>
      </c>
      <c r="L545" s="19" t="s">
        <v>48</v>
      </c>
      <c r="M545" s="19" t="s">
        <v>285</v>
      </c>
      <c r="N545" s="19" t="s">
        <v>2501</v>
      </c>
      <c r="O545" s="19" t="s">
        <v>285</v>
      </c>
      <c r="P545" s="19" t="s">
        <v>419</v>
      </c>
      <c r="Q545" s="19" t="s">
        <v>2221</v>
      </c>
      <c r="R545" s="19" t="s">
        <v>2502</v>
      </c>
      <c r="S545" s="19"/>
      <c r="T545" s="19" t="s">
        <v>54</v>
      </c>
      <c r="U545" s="19" t="s">
        <v>75</v>
      </c>
      <c r="V545" s="19" t="s">
        <v>101</v>
      </c>
      <c r="W545" s="19" t="s">
        <v>77</v>
      </c>
      <c r="X545" s="19"/>
      <c r="Y545" s="19"/>
      <c r="Z545" s="19" t="s">
        <v>2503</v>
      </c>
      <c r="AA545" s="19">
        <v>1</v>
      </c>
      <c r="AB545" s="19">
        <v>1</v>
      </c>
      <c r="AC545" s="19" t="s">
        <v>60</v>
      </c>
      <c r="AD545" s="19" t="s">
        <v>419</v>
      </c>
      <c r="AE545" s="19" t="s">
        <v>2221</v>
      </c>
      <c r="AF545" s="19"/>
    </row>
    <row r="546" spans="1:34">
      <c r="A546" s="19">
        <v>536</v>
      </c>
      <c r="B546" s="19" t="s">
        <v>2171</v>
      </c>
      <c r="C546" s="19" t="s">
        <v>2504</v>
      </c>
      <c r="D546" s="19" t="str">
        <f>HYPERLINK("http://www.henontech.com/fieldsafety/harzard/harzard_show.php?rid=12901&amp;url=harzardrecs.php","地沟盖板破裂，人员经过时不小心踩空，造成脚部轻微擦伤，休息片刻后继续工作。")</f>
        <v>地沟盖板破裂，人员经过时不小心踩空，造成脚部轻微擦伤，休息片刻后继续工作。</v>
      </c>
      <c r="E546" s="19" t="s">
        <v>2505</v>
      </c>
      <c r="F546" s="20" t="s">
        <v>42</v>
      </c>
      <c r="G546" s="21" t="s">
        <v>43</v>
      </c>
      <c r="H546" s="19" t="s">
        <v>44</v>
      </c>
      <c r="I546" s="19" t="s">
        <v>67</v>
      </c>
      <c r="J546" s="19" t="s">
        <v>68</v>
      </c>
      <c r="K546" s="19" t="s">
        <v>47</v>
      </c>
      <c r="L546" s="19"/>
      <c r="M546" s="19" t="s">
        <v>70</v>
      </c>
      <c r="N546" s="19" t="s">
        <v>517</v>
      </c>
      <c r="O546" s="19" t="s">
        <v>70</v>
      </c>
      <c r="P546" s="19" t="s">
        <v>72</v>
      </c>
      <c r="Q546" s="19" t="s">
        <v>1322</v>
      </c>
      <c r="R546" s="19" t="s">
        <v>2506</v>
      </c>
      <c r="S546" s="19"/>
      <c r="T546" s="19" t="s">
        <v>54</v>
      </c>
      <c r="U546" s="19" t="s">
        <v>75</v>
      </c>
      <c r="V546" s="19" t="s">
        <v>56</v>
      </c>
      <c r="W546" s="19" t="s">
        <v>138</v>
      </c>
      <c r="X546" s="19"/>
      <c r="Y546" s="19"/>
      <c r="Z546" s="19" t="s">
        <v>2507</v>
      </c>
      <c r="AA546" s="19">
        <v>1</v>
      </c>
      <c r="AB546" s="19">
        <v>1</v>
      </c>
      <c r="AC546" s="19" t="s">
        <v>60</v>
      </c>
      <c r="AD546" s="19" t="s">
        <v>72</v>
      </c>
      <c r="AE546" s="19" t="s">
        <v>2508</v>
      </c>
      <c r="AF546" s="19"/>
    </row>
    <row r="547" spans="1:34">
      <c r="A547" s="19">
        <v>537</v>
      </c>
      <c r="B547" s="19" t="s">
        <v>2221</v>
      </c>
      <c r="C547" s="19" t="s">
        <v>407</v>
      </c>
      <c r="D547" s="19" t="str">
        <f>HYPERLINK("http://www.henontech.com/fieldsafety/harzard/harzard_show.php?rid=12917&amp;url=harzardrecs.php","餐厅二楼一消防箱门框开裂，一旦有人开启，极易造成玻璃脱落划伤脚部，送医敷药包扎后回到岗位继续工作。")</f>
        <v>餐厅二楼一消防箱门框开裂，一旦有人开启，极易造成玻璃脱落划伤脚部，送医敷药包扎后回到岗位继续工作。</v>
      </c>
      <c r="E547" s="19" t="s">
        <v>2509</v>
      </c>
      <c r="F547" s="20" t="s">
        <v>42</v>
      </c>
      <c r="G547" s="21" t="s">
        <v>43</v>
      </c>
      <c r="H547" s="19" t="s">
        <v>44</v>
      </c>
      <c r="I547" s="19" t="s">
        <v>67</v>
      </c>
      <c r="J547" s="19" t="s">
        <v>46</v>
      </c>
      <c r="K547" s="19" t="s">
        <v>47</v>
      </c>
      <c r="L547" s="19" t="s">
        <v>573</v>
      </c>
      <c r="M547" s="19" t="s">
        <v>285</v>
      </c>
      <c r="N547" s="19" t="s">
        <v>419</v>
      </c>
      <c r="O547" s="19" t="s">
        <v>285</v>
      </c>
      <c r="P547" s="19" t="s">
        <v>419</v>
      </c>
      <c r="Q547" s="19" t="s">
        <v>1730</v>
      </c>
      <c r="R547" s="19" t="s">
        <v>2510</v>
      </c>
      <c r="S547" s="19"/>
      <c r="T547" s="19" t="s">
        <v>54</v>
      </c>
      <c r="U547" s="19" t="s">
        <v>75</v>
      </c>
      <c r="V547" s="19" t="s">
        <v>56</v>
      </c>
      <c r="W547" s="19" t="s">
        <v>138</v>
      </c>
      <c r="X547" s="19"/>
      <c r="Y547" s="19"/>
      <c r="Z547" s="19" t="s">
        <v>2511</v>
      </c>
      <c r="AA547" s="19">
        <v>1</v>
      </c>
      <c r="AB547" s="19">
        <v>1</v>
      </c>
      <c r="AC547" s="19" t="s">
        <v>60</v>
      </c>
      <c r="AD547" s="19" t="s">
        <v>419</v>
      </c>
      <c r="AE547" s="19" t="s">
        <v>1730</v>
      </c>
      <c r="AF547" s="19"/>
    </row>
    <row r="548" spans="1:34" customHeight="1" ht="42">
      <c r="A548" s="19">
        <v>538</v>
      </c>
      <c r="B548" s="19" t="s">
        <v>2474</v>
      </c>
      <c r="C548" s="19" t="s">
        <v>2005</v>
      </c>
      <c r="D548" s="19" t="str">
        <f>HYPERLINK("http://www.henontech.com/fieldsafety/harzard/harzard_show.php?rid=12918&amp;url=harzardrecs.php","西五通廊彩钢包边腐烂脱落")</f>
        <v>西五通廊彩钢包边腐烂脱落</v>
      </c>
      <c r="E548" s="19" t="s">
        <v>2512</v>
      </c>
      <c r="F548" s="20" t="s">
        <v>42</v>
      </c>
      <c r="G548" s="21" t="s">
        <v>43</v>
      </c>
      <c r="H548" s="19" t="s">
        <v>44</v>
      </c>
      <c r="I548" s="19" t="s">
        <v>67</v>
      </c>
      <c r="J548" s="19" t="s">
        <v>46</v>
      </c>
      <c r="K548" s="19" t="s">
        <v>47</v>
      </c>
      <c r="L548" s="19" t="s">
        <v>48</v>
      </c>
      <c r="M548" s="19" t="s">
        <v>285</v>
      </c>
      <c r="N548" s="19" t="s">
        <v>2513</v>
      </c>
      <c r="O548" s="19" t="s">
        <v>285</v>
      </c>
      <c r="P548" s="19" t="s">
        <v>617</v>
      </c>
      <c r="Q548" s="19" t="s">
        <v>1730</v>
      </c>
      <c r="R548" s="19" t="s">
        <v>2243</v>
      </c>
      <c r="S548" s="19"/>
      <c r="T548" s="19" t="s">
        <v>54</v>
      </c>
      <c r="U548" s="19" t="s">
        <v>75</v>
      </c>
      <c r="V548" s="19" t="s">
        <v>56</v>
      </c>
      <c r="W548" s="19" t="s">
        <v>138</v>
      </c>
      <c r="X548" s="19" t="s">
        <v>235</v>
      </c>
      <c r="Y548" s="19" t="s">
        <v>235</v>
      </c>
      <c r="Z548" s="19" t="s">
        <v>2514</v>
      </c>
      <c r="AA548" s="19">
        <v>2</v>
      </c>
      <c r="AB548" s="19">
        <v>2</v>
      </c>
      <c r="AC548" s="19" t="s">
        <v>60</v>
      </c>
      <c r="AD548" s="19" t="s">
        <v>617</v>
      </c>
      <c r="AE548" s="19" t="s">
        <v>2177</v>
      </c>
      <c r="AF548" s="19"/>
    </row>
    <row r="549" spans="1:34" customHeight="1" ht="42">
      <c r="A549" s="19">
        <v>539</v>
      </c>
      <c r="B549" s="19" t="s">
        <v>2474</v>
      </c>
      <c r="C549" s="19" t="s">
        <v>2005</v>
      </c>
      <c r="D549" s="19" t="str">
        <f>HYPERLINK("http://www.henontech.com/fieldsafety/harzard/harzard_show.php?rid=12919&amp;url=harzardrecs.php","一操作工在巡查时不慎被脱落旳电缆套管拌倒造成右手掌擦伤，经检查轻微伤。")</f>
        <v>一操作工在巡查时不慎被脱落旳电缆套管拌倒造成右手掌擦伤，经检查轻微伤。</v>
      </c>
      <c r="E549" s="19" t="s">
        <v>2515</v>
      </c>
      <c r="F549" s="20" t="s">
        <v>42</v>
      </c>
      <c r="G549" s="21" t="s">
        <v>43</v>
      </c>
      <c r="H549" s="19" t="s">
        <v>44</v>
      </c>
      <c r="I549" s="19" t="s">
        <v>83</v>
      </c>
      <c r="J549" s="19" t="s">
        <v>46</v>
      </c>
      <c r="K549" s="19" t="s">
        <v>69</v>
      </c>
      <c r="L549" s="19" t="s">
        <v>48</v>
      </c>
      <c r="M549" s="19" t="s">
        <v>285</v>
      </c>
      <c r="N549" s="19" t="s">
        <v>2516</v>
      </c>
      <c r="O549" s="19" t="s">
        <v>285</v>
      </c>
      <c r="P549" s="19" t="s">
        <v>617</v>
      </c>
      <c r="Q549" s="19" t="s">
        <v>2517</v>
      </c>
      <c r="R549" s="19" t="s">
        <v>2518</v>
      </c>
      <c r="S549" s="19"/>
      <c r="T549" s="19" t="s">
        <v>54</v>
      </c>
      <c r="U549" s="19" t="s">
        <v>75</v>
      </c>
      <c r="V549" s="19" t="s">
        <v>101</v>
      </c>
      <c r="W549" s="19" t="s">
        <v>77</v>
      </c>
      <c r="X549" s="19" t="s">
        <v>235</v>
      </c>
      <c r="Y549" s="19" t="s">
        <v>235</v>
      </c>
      <c r="Z549" s="19" t="s">
        <v>2519</v>
      </c>
      <c r="AA549" s="19">
        <v>2</v>
      </c>
      <c r="AB549" s="19">
        <v>2</v>
      </c>
      <c r="AC549" s="19" t="s">
        <v>60</v>
      </c>
      <c r="AD549" s="19" t="s">
        <v>617</v>
      </c>
      <c r="AE549" s="19" t="s">
        <v>2177</v>
      </c>
      <c r="AF549" s="19"/>
    </row>
    <row r="550" spans="1:34">
      <c r="A550" s="19">
        <v>540</v>
      </c>
      <c r="B550" s="19" t="s">
        <v>2474</v>
      </c>
      <c r="C550" s="19" t="s">
        <v>2520</v>
      </c>
      <c r="D550" s="19" t="str">
        <f>HYPERLINK("http://www.henontech.com/fieldsafety/harzard/harzard_show.php?rid=12930&amp;url=harzardrecs.php","热力车间硫铵二楼，振动筛北侧平台，太小，无固定且无护栏，一橾作工上去清理振动筛时，不小心从平台上摔下，摔伤脚踝，住院治疗，休班七天！")</f>
        <v>热力车间硫铵二楼，振动筛北侧平台，太小，无固定且无护栏，一橾作工上去清理振动筛时，不小心从平台上摔下，摔伤脚踝，住院治疗，休班七天！</v>
      </c>
      <c r="E550" s="19" t="s">
        <v>2521</v>
      </c>
      <c r="F550" s="24" t="s">
        <v>387</v>
      </c>
      <c r="G550" s="21" t="s">
        <v>43</v>
      </c>
      <c r="H550" s="19" t="s">
        <v>44</v>
      </c>
      <c r="I550" s="19" t="s">
        <v>83</v>
      </c>
      <c r="J550" s="19" t="s">
        <v>68</v>
      </c>
      <c r="K550" s="19" t="s">
        <v>145</v>
      </c>
      <c r="L550" s="19" t="s">
        <v>48</v>
      </c>
      <c r="M550" s="19" t="s">
        <v>84</v>
      </c>
      <c r="N550" s="19" t="s">
        <v>914</v>
      </c>
      <c r="O550" s="19"/>
      <c r="P550" s="19"/>
      <c r="Q550" s="19"/>
      <c r="R550" s="19" t="s">
        <v>2522</v>
      </c>
      <c r="S550" s="19" t="s">
        <v>2095</v>
      </c>
      <c r="T550" s="19" t="s">
        <v>54</v>
      </c>
      <c r="U550" s="19" t="s">
        <v>75</v>
      </c>
      <c r="V550" s="19" t="s">
        <v>271</v>
      </c>
      <c r="W550" s="19" t="s">
        <v>57</v>
      </c>
      <c r="X550" s="19"/>
      <c r="Y550" s="19"/>
      <c r="Z550" s="19"/>
      <c r="AA550" s="19">
        <v>0</v>
      </c>
      <c r="AB550" s="19"/>
      <c r="AC550" s="19" t="s">
        <v>392</v>
      </c>
      <c r="AD550" s="19"/>
      <c r="AE550" s="19"/>
      <c r="AF550" s="19"/>
    </row>
    <row r="551" spans="1:34">
      <c r="A551" s="19">
        <v>541</v>
      </c>
      <c r="B551" s="19" t="s">
        <v>2474</v>
      </c>
      <c r="C551" s="19" t="s">
        <v>2053</v>
      </c>
      <c r="D551" s="19" t="str">
        <f>HYPERLINK("http://www.henontech.com/fieldsafety/harzard/harzard_show.php?rid=12977&amp;url=harzardrecs.php","碳化岗位取出管阀门垫子破损，取出液泄漏，一操作工在操作过程中被取出液贱伤眼部，简单处理后就医，经医生诊断眼部皮肤灼伤需住院3天在家休养4天。")</f>
        <v>碳化岗位取出管阀门垫子破损，取出液泄漏，一操作工在操作过程中被取出液贱伤眼部，简单处理后就医，经医生诊断眼部皮肤灼伤需住院3天在家休养4天。</v>
      </c>
      <c r="E551" s="19" t="s">
        <v>2523</v>
      </c>
      <c r="F551" s="20" t="s">
        <v>42</v>
      </c>
      <c r="G551" s="21" t="s">
        <v>43</v>
      </c>
      <c r="H551" s="19" t="s">
        <v>44</v>
      </c>
      <c r="I551" s="19" t="s">
        <v>67</v>
      </c>
      <c r="J551" s="19" t="s">
        <v>1998</v>
      </c>
      <c r="K551" s="19"/>
      <c r="L551" s="19"/>
      <c r="M551" s="19" t="s">
        <v>70</v>
      </c>
      <c r="N551" s="19" t="s">
        <v>1771</v>
      </c>
      <c r="O551" s="19" t="s">
        <v>96</v>
      </c>
      <c r="P551" s="19" t="s">
        <v>217</v>
      </c>
      <c r="Q551" s="19" t="s">
        <v>1409</v>
      </c>
      <c r="R551" s="19" t="s">
        <v>186</v>
      </c>
      <c r="S551" s="19"/>
      <c r="T551" s="19" t="s">
        <v>54</v>
      </c>
      <c r="U551" s="19" t="s">
        <v>55</v>
      </c>
      <c r="V551" s="19" t="s">
        <v>101</v>
      </c>
      <c r="W551" s="19" t="s">
        <v>138</v>
      </c>
      <c r="X551" s="19" t="s">
        <v>713</v>
      </c>
      <c r="Y551" s="19" t="s">
        <v>713</v>
      </c>
      <c r="Z551" s="19" t="s">
        <v>2524</v>
      </c>
      <c r="AA551" s="19">
        <v>1</v>
      </c>
      <c r="AB551" s="19">
        <v>1</v>
      </c>
      <c r="AC551" s="19" t="s">
        <v>60</v>
      </c>
      <c r="AD551" s="19" t="s">
        <v>217</v>
      </c>
      <c r="AE551" s="19" t="s">
        <v>1139</v>
      </c>
      <c r="AF551" s="19" t="s">
        <v>2525</v>
      </c>
    </row>
    <row r="552" spans="1:34">
      <c r="A552" s="19">
        <v>542</v>
      </c>
      <c r="B552" s="19" t="s">
        <v>2474</v>
      </c>
      <c r="C552" s="19" t="s">
        <v>1712</v>
      </c>
      <c r="D552" s="19" t="str">
        <f>HYPERLINK("http://www.henontech.com/fieldsafety/harzard/harzard_show.php?rid=13090&amp;url=harzardrecs.php","蒸氨塔南管架上面有一废弃电缆盖板，假如大风天气一名操作工从其下面经过时，可能被掉落的盖板砸到肩部，送医院治疗")</f>
        <v>蒸氨塔南管架上面有一废弃电缆盖板，假如大风天气一名操作工从其下面经过时，可能被掉落的盖板砸到肩部，送医院治疗</v>
      </c>
      <c r="E552" s="19" t="s">
        <v>2526</v>
      </c>
      <c r="F552" s="20" t="s">
        <v>42</v>
      </c>
      <c r="G552" s="21" t="s">
        <v>43</v>
      </c>
      <c r="H552" s="19" t="s">
        <v>44</v>
      </c>
      <c r="I552" s="19" t="s">
        <v>45</v>
      </c>
      <c r="J552" s="19" t="s">
        <v>46</v>
      </c>
      <c r="K552" s="19" t="s">
        <v>69</v>
      </c>
      <c r="L552" s="19"/>
      <c r="M552" s="19" t="s">
        <v>70</v>
      </c>
      <c r="N552" s="19" t="s">
        <v>2527</v>
      </c>
      <c r="O552" s="19" t="s">
        <v>70</v>
      </c>
      <c r="P552" s="19" t="s">
        <v>72</v>
      </c>
      <c r="Q552" s="19" t="s">
        <v>1322</v>
      </c>
      <c r="R552" s="19" t="s">
        <v>2528</v>
      </c>
      <c r="S552" s="19"/>
      <c r="T552" s="19" t="s">
        <v>54</v>
      </c>
      <c r="U552" s="19" t="s">
        <v>55</v>
      </c>
      <c r="V552" s="19" t="s">
        <v>101</v>
      </c>
      <c r="W552" s="19" t="s">
        <v>138</v>
      </c>
      <c r="X552" s="19"/>
      <c r="Y552" s="19"/>
      <c r="Z552" s="19" t="s">
        <v>2529</v>
      </c>
      <c r="AA552" s="19">
        <v>1</v>
      </c>
      <c r="AB552" s="19">
        <v>1</v>
      </c>
      <c r="AC552" s="19" t="s">
        <v>60</v>
      </c>
      <c r="AD552" s="19" t="s">
        <v>72</v>
      </c>
      <c r="AE552" s="19" t="s">
        <v>2508</v>
      </c>
      <c r="AF552" s="19"/>
    </row>
    <row r="553" spans="1:34">
      <c r="A553" s="19">
        <v>543</v>
      </c>
      <c r="B553" s="19" t="s">
        <v>2297</v>
      </c>
      <c r="C553" s="19" t="s">
        <v>1712</v>
      </c>
      <c r="D553" s="19" t="str">
        <f>HYPERLINK("http://www.henontech.com/fieldsafety/harzard/harzard_show.php?rid=13105&amp;url=harzardrecs.php","北脱硫2号溶液缓冲泵压力表螺栓缺失，当操作工巡检时，压力表垫子破，溶液溢出，溅入操作工的右眼，立刻到洗眼器清洗眼睛，后去医务室检查，眼睛红肿无大碍，拿眼药水消炎后复工。")</f>
        <v>北脱硫2号溶液缓冲泵压力表螺栓缺失，当操作工巡检时，压力表垫子破，溶液溢出，溅入操作工的右眼，立刻到洗眼器清洗眼睛，后去医务室检查，眼睛红肿无大碍，拿眼药水消炎后复工。</v>
      </c>
      <c r="E553" s="19" t="s">
        <v>2530</v>
      </c>
      <c r="F553" s="20" t="s">
        <v>42</v>
      </c>
      <c r="G553" s="21" t="s">
        <v>43</v>
      </c>
      <c r="H553" s="19" t="s">
        <v>44</v>
      </c>
      <c r="I553" s="19" t="s">
        <v>45</v>
      </c>
      <c r="J553" s="19" t="s">
        <v>46</v>
      </c>
      <c r="K553" s="19" t="s">
        <v>69</v>
      </c>
      <c r="L553" s="19" t="s">
        <v>48</v>
      </c>
      <c r="M553" s="19" t="s">
        <v>70</v>
      </c>
      <c r="N553" s="19" t="s">
        <v>2531</v>
      </c>
      <c r="O553" s="19" t="s">
        <v>70</v>
      </c>
      <c r="P553" s="19" t="s">
        <v>72</v>
      </c>
      <c r="Q553" s="19" t="s">
        <v>1322</v>
      </c>
      <c r="R553" s="19" t="s">
        <v>2532</v>
      </c>
      <c r="S553" s="19"/>
      <c r="T553" s="19" t="s">
        <v>54</v>
      </c>
      <c r="U553" s="19" t="s">
        <v>75</v>
      </c>
      <c r="V553" s="19" t="s">
        <v>101</v>
      </c>
      <c r="W553" s="19" t="s">
        <v>77</v>
      </c>
      <c r="X553" s="19"/>
      <c r="Y553" s="19"/>
      <c r="Z553" s="19" t="s">
        <v>2533</v>
      </c>
      <c r="AA553" s="19">
        <v>1</v>
      </c>
      <c r="AB553" s="19">
        <v>1</v>
      </c>
      <c r="AC553" s="19" t="s">
        <v>60</v>
      </c>
      <c r="AD553" s="19" t="s">
        <v>72</v>
      </c>
      <c r="AE553" s="19" t="s">
        <v>2177</v>
      </c>
      <c r="AF553" s="19"/>
    </row>
    <row r="554" spans="1:34">
      <c r="A554" s="19">
        <v>544</v>
      </c>
      <c r="B554" s="19" t="s">
        <v>2297</v>
      </c>
      <c r="C554" s="19" t="s">
        <v>284</v>
      </c>
      <c r="D554" s="19" t="str">
        <f>HYPERLINK("http://www.henontech.com/fieldsafety/harzard/harzard_show.php?rid=13221&amp;url=harzardrecs.php","使用后的钎子违规放在下料筒平台上，一旦下料筒振动电机使用时钎子从高处掉落，容易造成人员伤害。")</f>
        <v>使用后的钎子违规放在下料筒平台上，一旦下料筒振动电机使用时钎子从高处掉落，容易造成人员伤害。</v>
      </c>
      <c r="E554" s="19" t="s">
        <v>2534</v>
      </c>
      <c r="F554" s="20" t="s">
        <v>42</v>
      </c>
      <c r="G554" s="22" t="s">
        <v>66</v>
      </c>
      <c r="H554" s="19" t="s">
        <v>44</v>
      </c>
      <c r="I554" s="19" t="s">
        <v>45</v>
      </c>
      <c r="J554" s="19"/>
      <c r="K554" s="19"/>
      <c r="L554" s="19" t="s">
        <v>48</v>
      </c>
      <c r="M554" s="19" t="s">
        <v>285</v>
      </c>
      <c r="N554" s="19" t="s">
        <v>2441</v>
      </c>
      <c r="O554" s="19" t="s">
        <v>285</v>
      </c>
      <c r="P554" s="19" t="s">
        <v>410</v>
      </c>
      <c r="Q554" s="19" t="s">
        <v>2314</v>
      </c>
      <c r="R554" s="19" t="s">
        <v>2535</v>
      </c>
      <c r="S554" s="19"/>
      <c r="T554" s="19" t="s">
        <v>54</v>
      </c>
      <c r="U554" s="19" t="s">
        <v>75</v>
      </c>
      <c r="V554" s="19" t="s">
        <v>56</v>
      </c>
      <c r="W554" s="19" t="s">
        <v>138</v>
      </c>
      <c r="X554" s="19"/>
      <c r="Y554" s="19"/>
      <c r="Z554" s="19" t="s">
        <v>2536</v>
      </c>
      <c r="AA554" s="19">
        <v>1</v>
      </c>
      <c r="AB554" s="19">
        <v>1</v>
      </c>
      <c r="AC554" s="19" t="s">
        <v>60</v>
      </c>
      <c r="AD554" s="19" t="s">
        <v>410</v>
      </c>
      <c r="AE554" s="19" t="s">
        <v>2221</v>
      </c>
      <c r="AF554" s="19"/>
    </row>
    <row r="555" spans="1:34">
      <c r="A555" s="19">
        <v>545</v>
      </c>
      <c r="B555" s="19" t="s">
        <v>2297</v>
      </c>
      <c r="C555" s="19" t="s">
        <v>1063</v>
      </c>
      <c r="D555" s="19" t="str">
        <f>HYPERLINK("http://www.henontech.com/fieldsafety/harzard/harzard_show.php?rid=13229&amp;url=harzardrecs.php","南冷凝循环罐和剩余罐之间电缆架桥有一废弃铁管，离地面约3米高，如果大风天气，一操作人员巡检经过时，铁管被大风刮落，砸中操作人员左手大母指，送医检查大母指骨裂，在家休养一个月，损工30天。")</f>
        <v>南冷凝循环罐和剩余罐之间电缆架桥有一废弃铁管，离地面约3米高，如果大风天气，一操作人员巡检经过时，铁管被大风刮落，砸中操作人员左手大母指，送医检查大母指骨裂，在家休养一个月，损工30天。</v>
      </c>
      <c r="E555" s="19" t="s">
        <v>2537</v>
      </c>
      <c r="F555" s="20" t="s">
        <v>42</v>
      </c>
      <c r="G555" s="21" t="s">
        <v>43</v>
      </c>
      <c r="H555" s="19" t="s">
        <v>44</v>
      </c>
      <c r="I555" s="19" t="s">
        <v>45</v>
      </c>
      <c r="J555" s="19" t="s">
        <v>46</v>
      </c>
      <c r="K555" s="19" t="s">
        <v>69</v>
      </c>
      <c r="L555" s="19" t="s">
        <v>48</v>
      </c>
      <c r="M555" s="19" t="s">
        <v>70</v>
      </c>
      <c r="N555" s="19" t="s">
        <v>2538</v>
      </c>
      <c r="O555" s="19" t="s">
        <v>70</v>
      </c>
      <c r="P555" s="19" t="s">
        <v>72</v>
      </c>
      <c r="Q555" s="19" t="s">
        <v>1322</v>
      </c>
      <c r="R555" s="19" t="s">
        <v>2539</v>
      </c>
      <c r="S555" s="19"/>
      <c r="T555" s="19" t="s">
        <v>54</v>
      </c>
      <c r="U555" s="19" t="s">
        <v>55</v>
      </c>
      <c r="V555" s="19" t="s">
        <v>56</v>
      </c>
      <c r="W555" s="19" t="s">
        <v>57</v>
      </c>
      <c r="X555" s="19"/>
      <c r="Y555" s="19"/>
      <c r="Z555" s="19" t="s">
        <v>1716</v>
      </c>
      <c r="AA555" s="19">
        <v>1</v>
      </c>
      <c r="AB555" s="19">
        <v>1</v>
      </c>
      <c r="AC555" s="19" t="s">
        <v>60</v>
      </c>
      <c r="AD555" s="19" t="s">
        <v>72</v>
      </c>
      <c r="AE555" s="19" t="s">
        <v>2177</v>
      </c>
      <c r="AF555" s="19"/>
    </row>
    <row r="556" spans="1:34">
      <c r="A556" s="19">
        <v>546</v>
      </c>
      <c r="B556" s="19" t="s">
        <v>2297</v>
      </c>
      <c r="C556" s="19" t="s">
        <v>2236</v>
      </c>
      <c r="D556" s="19" t="str">
        <f>HYPERLINK("http://www.henontech.com/fieldsafety/harzard/harzard_show.php?rid=13231&amp;url=harzardrecs.php","下料筒平台护栏开焊，人员清理下料筒时，容易造成坠落，造成人身伤害")</f>
        <v>下料筒平台护栏开焊，人员清理下料筒时，容易造成坠落，造成人身伤害</v>
      </c>
      <c r="E556" s="19" t="s">
        <v>2540</v>
      </c>
      <c r="F556" s="20" t="s">
        <v>42</v>
      </c>
      <c r="G556" s="21" t="s">
        <v>43</v>
      </c>
      <c r="H556" s="19" t="s">
        <v>44</v>
      </c>
      <c r="I556" s="19" t="s">
        <v>45</v>
      </c>
      <c r="J556" s="19"/>
      <c r="K556" s="19" t="s">
        <v>47</v>
      </c>
      <c r="L556" s="19"/>
      <c r="M556" s="19" t="s">
        <v>285</v>
      </c>
      <c r="N556" s="19" t="s">
        <v>2541</v>
      </c>
      <c r="O556" s="19" t="s">
        <v>285</v>
      </c>
      <c r="P556" s="19" t="s">
        <v>410</v>
      </c>
      <c r="Q556" s="19" t="s">
        <v>2314</v>
      </c>
      <c r="R556" s="19" t="s">
        <v>2542</v>
      </c>
      <c r="S556" s="19"/>
      <c r="T556" s="19" t="s">
        <v>54</v>
      </c>
      <c r="U556" s="19" t="s">
        <v>192</v>
      </c>
      <c r="V556" s="19" t="s">
        <v>56</v>
      </c>
      <c r="W556" s="19" t="s">
        <v>77</v>
      </c>
      <c r="X556" s="19"/>
      <c r="Y556" s="19"/>
      <c r="Z556" s="19" t="s">
        <v>2543</v>
      </c>
      <c r="AA556" s="19">
        <v>1</v>
      </c>
      <c r="AB556" s="19">
        <v>1</v>
      </c>
      <c r="AC556" s="19" t="s">
        <v>60</v>
      </c>
      <c r="AD556" s="19" t="s">
        <v>410</v>
      </c>
      <c r="AE556" s="19" t="s">
        <v>2221</v>
      </c>
      <c r="AF556" s="19"/>
    </row>
    <row r="557" spans="1:34">
      <c r="A557" s="19">
        <v>547</v>
      </c>
      <c r="B557" s="19" t="s">
        <v>2297</v>
      </c>
      <c r="C557" s="19" t="s">
        <v>1387</v>
      </c>
      <c r="D557" s="19" t="str">
        <f>HYPERLINK("http://www.henontech.com/fieldsafety/harzard/harzard_show.php?rid=13251&amp;url=harzardrecs.php","西硫铵捕酸器平台有杂物未清理，如果有一名操作工到平台操作，不慎被杂物拌倒，造成右手肿大，紧急自身处理后送医院就诊，后在家修养七天后复工。")</f>
        <v>西硫铵捕酸器平台有杂物未清理，如果有一名操作工到平台操作，不慎被杂物拌倒，造成右手肿大，紧急自身处理后送医院就诊，后在家修养七天后复工。</v>
      </c>
      <c r="E557" s="19" t="s">
        <v>2544</v>
      </c>
      <c r="F557" s="20" t="s">
        <v>42</v>
      </c>
      <c r="G557" s="21" t="s">
        <v>43</v>
      </c>
      <c r="H557" s="19" t="s">
        <v>44</v>
      </c>
      <c r="I557" s="19" t="s">
        <v>45</v>
      </c>
      <c r="J557" s="19" t="s">
        <v>46</v>
      </c>
      <c r="K557" s="19" t="s">
        <v>69</v>
      </c>
      <c r="L557" s="19" t="s">
        <v>48</v>
      </c>
      <c r="M557" s="19" t="s">
        <v>70</v>
      </c>
      <c r="N557" s="19" t="s">
        <v>2545</v>
      </c>
      <c r="O557" s="19" t="s">
        <v>70</v>
      </c>
      <c r="P557" s="19" t="s">
        <v>72</v>
      </c>
      <c r="Q557" s="19" t="s">
        <v>1322</v>
      </c>
      <c r="R557" s="19" t="s">
        <v>2546</v>
      </c>
      <c r="S557" s="19"/>
      <c r="T557" s="19" t="s">
        <v>54</v>
      </c>
      <c r="U557" s="19" t="s">
        <v>75</v>
      </c>
      <c r="V557" s="19" t="s">
        <v>101</v>
      </c>
      <c r="W557" s="19" t="s">
        <v>77</v>
      </c>
      <c r="X557" s="19"/>
      <c r="Y557" s="19"/>
      <c r="Z557" s="19" t="s">
        <v>2547</v>
      </c>
      <c r="AA557" s="19">
        <v>1</v>
      </c>
      <c r="AB557" s="19">
        <v>1</v>
      </c>
      <c r="AC557" s="19" t="s">
        <v>60</v>
      </c>
      <c r="AD557" s="19" t="s">
        <v>72</v>
      </c>
      <c r="AE557" s="19" t="s">
        <v>2177</v>
      </c>
      <c r="AF557" s="19"/>
    </row>
    <row r="558" spans="1:34">
      <c r="A558" s="19">
        <v>548</v>
      </c>
      <c r="B558" s="19" t="s">
        <v>2297</v>
      </c>
      <c r="C558" s="19" t="s">
        <v>2140</v>
      </c>
      <c r="D558" s="19" t="str">
        <f>HYPERLINK("http://www.henontech.com/fieldsafety/harzard/harzard_show.php?rid=13254&amp;url=harzardrecs.php","热力车间DCS热控室地板砖破裂下陷，一司炉工在室内走动时踩到破裂地板砖，地板砖下陷造成该名司炉工右脚扭伤，同事送医院治疗。")</f>
        <v>热力车间DCS热控室地板砖破裂下陷，一司炉工在室内走动时踩到破裂地板砖，地板砖下陷造成该名司炉工右脚扭伤，同事送医院治疗。</v>
      </c>
      <c r="E558" s="19" t="s">
        <v>2548</v>
      </c>
      <c r="F558" s="24" t="s">
        <v>387</v>
      </c>
      <c r="G558" s="21" t="s">
        <v>43</v>
      </c>
      <c r="H558" s="19" t="s">
        <v>44</v>
      </c>
      <c r="I558" s="19" t="s">
        <v>67</v>
      </c>
      <c r="J558" s="19" t="s">
        <v>46</v>
      </c>
      <c r="K558" s="19" t="s">
        <v>47</v>
      </c>
      <c r="L558" s="19" t="s">
        <v>48</v>
      </c>
      <c r="M558" s="19" t="s">
        <v>84</v>
      </c>
      <c r="N558" s="19" t="s">
        <v>2549</v>
      </c>
      <c r="O558" s="19"/>
      <c r="P558" s="19"/>
      <c r="Q558" s="19"/>
      <c r="R558" s="19" t="s">
        <v>2550</v>
      </c>
      <c r="S558" s="19" t="s">
        <v>2551</v>
      </c>
      <c r="T558" s="19" t="s">
        <v>54</v>
      </c>
      <c r="U558" s="19" t="s">
        <v>75</v>
      </c>
      <c r="V558" s="19" t="s">
        <v>101</v>
      </c>
      <c r="W558" s="19" t="s">
        <v>77</v>
      </c>
      <c r="X558" s="19"/>
      <c r="Y558" s="19"/>
      <c r="Z558" s="19"/>
      <c r="AA558" s="19">
        <v>0</v>
      </c>
      <c r="AB558" s="19"/>
      <c r="AC558" s="19" t="s">
        <v>392</v>
      </c>
      <c r="AD558" s="19"/>
      <c r="AE558" s="19"/>
      <c r="AF558" s="19"/>
    </row>
    <row r="559" spans="1:34">
      <c r="A559" s="19">
        <v>549</v>
      </c>
      <c r="B559" s="19" t="s">
        <v>2423</v>
      </c>
      <c r="C559" s="19" t="s">
        <v>1930</v>
      </c>
      <c r="D559" s="19" t="str">
        <f>HYPERLINK("http://www.henontech.com/fieldsafety/harzard/harzard_show.php?rid=13257&amp;url=harzardrecs.php","脱硫塔北蒸汽放空阀门手柄破损，一操作工在开关阀门时割伤手心，")</f>
        <v>脱硫塔北蒸汽放空阀门手柄破损，一操作工在开关阀门时割伤手心，</v>
      </c>
      <c r="E559" s="19" t="s">
        <v>2552</v>
      </c>
      <c r="F559" s="20" t="s">
        <v>42</v>
      </c>
      <c r="G559" s="21" t="s">
        <v>43</v>
      </c>
      <c r="H559" s="19" t="s">
        <v>44</v>
      </c>
      <c r="I559" s="19" t="s">
        <v>67</v>
      </c>
      <c r="J559" s="19" t="s">
        <v>401</v>
      </c>
      <c r="K559" s="19" t="s">
        <v>209</v>
      </c>
      <c r="L559" s="19" t="s">
        <v>48</v>
      </c>
      <c r="M559" s="19" t="s">
        <v>70</v>
      </c>
      <c r="N559" s="19" t="s">
        <v>473</v>
      </c>
      <c r="O559" s="19" t="s">
        <v>70</v>
      </c>
      <c r="P559" s="19" t="s">
        <v>72</v>
      </c>
      <c r="Q559" s="19" t="s">
        <v>1322</v>
      </c>
      <c r="R559" s="19" t="s">
        <v>2553</v>
      </c>
      <c r="S559" s="19"/>
      <c r="T559" s="19" t="s">
        <v>54</v>
      </c>
      <c r="U559" s="19" t="s">
        <v>75</v>
      </c>
      <c r="V559" s="19" t="s">
        <v>56</v>
      </c>
      <c r="W559" s="19" t="s">
        <v>138</v>
      </c>
      <c r="X559" s="19"/>
      <c r="Y559" s="19"/>
      <c r="Z559" s="19" t="s">
        <v>2554</v>
      </c>
      <c r="AA559" s="19">
        <v>1</v>
      </c>
      <c r="AB559" s="19">
        <v>1</v>
      </c>
      <c r="AC559" s="19" t="s">
        <v>60</v>
      </c>
      <c r="AD559" s="19" t="s">
        <v>72</v>
      </c>
      <c r="AE559" s="19" t="s">
        <v>1074</v>
      </c>
      <c r="AF559" s="19"/>
    </row>
    <row r="560" spans="1:34">
      <c r="A560" s="19">
        <v>550</v>
      </c>
      <c r="B560" s="19" t="s">
        <v>2423</v>
      </c>
      <c r="C560" s="19" t="s">
        <v>549</v>
      </c>
      <c r="D560" s="19" t="str">
        <f>HYPERLINK("http://www.henontech.com/fieldsafety/harzard/harzard_show.php?rid=13284&amp;url=harzardrecs.php","南化产水封槽北侧一电缆套管腐蚀严重，底部断开。如果操作工发现处理不及时，电缆被套管划破，造成操作工触电，送往医院抢救无效死亡。")</f>
        <v>南化产水封槽北侧一电缆套管腐蚀严重，底部断开。如果操作工发现处理不及时，电缆被套管划破，造成操作工触电，送往医院抢救无效死亡。</v>
      </c>
      <c r="E560" s="19" t="s">
        <v>2555</v>
      </c>
      <c r="F560" s="25" t="s">
        <v>1853</v>
      </c>
      <c r="G560" s="22" t="s">
        <v>66</v>
      </c>
      <c r="H560" s="19" t="s">
        <v>44</v>
      </c>
      <c r="I560" s="19" t="s">
        <v>45</v>
      </c>
      <c r="J560" s="19" t="s">
        <v>46</v>
      </c>
      <c r="K560" s="19" t="s">
        <v>69</v>
      </c>
      <c r="L560" s="19" t="s">
        <v>48</v>
      </c>
      <c r="M560" s="19" t="s">
        <v>70</v>
      </c>
      <c r="N560" s="19" t="s">
        <v>1663</v>
      </c>
      <c r="O560" s="19" t="s">
        <v>70</v>
      </c>
      <c r="P560" s="19" t="s">
        <v>72</v>
      </c>
      <c r="Q560" s="19" t="s">
        <v>1322</v>
      </c>
      <c r="R560" s="19" t="s">
        <v>2556</v>
      </c>
      <c r="S560" s="19"/>
      <c r="T560" s="19" t="s">
        <v>54</v>
      </c>
      <c r="U560" s="19" t="s">
        <v>121</v>
      </c>
      <c r="V560" s="19" t="s">
        <v>56</v>
      </c>
      <c r="W560" s="19" t="s">
        <v>122</v>
      </c>
      <c r="X560" s="19"/>
      <c r="Y560" s="19"/>
      <c r="Z560" s="19" t="s">
        <v>2557</v>
      </c>
      <c r="AA560" s="19">
        <v>1</v>
      </c>
      <c r="AB560" s="19"/>
      <c r="AC560" s="19" t="s">
        <v>392</v>
      </c>
      <c r="AD560" s="19"/>
      <c r="AE560" s="19"/>
      <c r="AF560" s="19"/>
    </row>
    <row r="561" spans="1:34">
      <c r="A561" s="19">
        <v>551</v>
      </c>
      <c r="B561" s="19" t="s">
        <v>2423</v>
      </c>
      <c r="C561" s="19" t="s">
        <v>2558</v>
      </c>
      <c r="D561" s="19" t="str">
        <f>HYPERLINK("http://www.henontech.com/fieldsafety/harzard/harzard_show.php?rid=13290&amp;url=harzardrecs.php","货车经过操作室北侧路口，把地沟盖板掀起，盖板掉入地沟内。假如一名操作工经过此处，右脚踏空，不慎摔倒，右腿擦伤，送入医务室简单处理，无损工。")</f>
        <v>货车经过操作室北侧路口，把地沟盖板掀起，盖板掉入地沟内。假如一名操作工经过此处，右脚踏空，不慎摔倒，右腿擦伤，送入医务室简单处理，无损工。</v>
      </c>
      <c r="E561" s="19" t="s">
        <v>2559</v>
      </c>
      <c r="F561" s="20" t="s">
        <v>42</v>
      </c>
      <c r="G561" s="21" t="s">
        <v>43</v>
      </c>
      <c r="H561" s="19" t="s">
        <v>44</v>
      </c>
      <c r="I561" s="19" t="s">
        <v>67</v>
      </c>
      <c r="J561" s="19" t="s">
        <v>46</v>
      </c>
      <c r="K561" s="19" t="s">
        <v>47</v>
      </c>
      <c r="L561" s="19" t="s">
        <v>48</v>
      </c>
      <c r="M561" s="19" t="s">
        <v>70</v>
      </c>
      <c r="N561" s="19" t="s">
        <v>1009</v>
      </c>
      <c r="O561" s="19" t="s">
        <v>70</v>
      </c>
      <c r="P561" s="19" t="s">
        <v>72</v>
      </c>
      <c r="Q561" s="19" t="s">
        <v>1322</v>
      </c>
      <c r="R561" s="19" t="s">
        <v>2560</v>
      </c>
      <c r="S561" s="19"/>
      <c r="T561" s="19" t="s">
        <v>54</v>
      </c>
      <c r="U561" s="19" t="s">
        <v>75</v>
      </c>
      <c r="V561" s="19" t="s">
        <v>101</v>
      </c>
      <c r="W561" s="19" t="s">
        <v>77</v>
      </c>
      <c r="X561" s="19"/>
      <c r="Y561" s="19"/>
      <c r="Z561" s="19" t="s">
        <v>2561</v>
      </c>
      <c r="AA561" s="19">
        <v>1</v>
      </c>
      <c r="AB561" s="19">
        <v>1</v>
      </c>
      <c r="AC561" s="19" t="s">
        <v>60</v>
      </c>
      <c r="AD561" s="19" t="s">
        <v>72</v>
      </c>
      <c r="AE561" s="19" t="s">
        <v>2508</v>
      </c>
      <c r="AF561" s="19"/>
    </row>
    <row r="562" spans="1:34">
      <c r="A562" s="19">
        <v>552</v>
      </c>
      <c r="B562" s="19" t="s">
        <v>2423</v>
      </c>
      <c r="C562" s="19" t="s">
        <v>2005</v>
      </c>
      <c r="D562" s="19" t="str">
        <f>HYPERLINK("http://www.henontech.com/fieldsafety/harzard/harzard_show.php?rid=13327&amp;url=harzardrecs.php","托辊磨损严重，开机时划伤胶带，造成设备损坏。")</f>
        <v>托辊磨损严重，开机时划伤胶带，造成设备损坏。</v>
      </c>
      <c r="E562" s="19" t="s">
        <v>230</v>
      </c>
      <c r="F562" s="24" t="s">
        <v>387</v>
      </c>
      <c r="G562" s="21" t="s">
        <v>43</v>
      </c>
      <c r="H562" s="19" t="s">
        <v>44</v>
      </c>
      <c r="I562" s="19" t="s">
        <v>67</v>
      </c>
      <c r="J562" s="19" t="s">
        <v>46</v>
      </c>
      <c r="K562" s="19"/>
      <c r="L562" s="19" t="s">
        <v>48</v>
      </c>
      <c r="M562" s="19" t="s">
        <v>285</v>
      </c>
      <c r="N562" s="19" t="s">
        <v>2562</v>
      </c>
      <c r="O562" s="19"/>
      <c r="P562" s="19"/>
      <c r="Q562" s="19"/>
      <c r="R562" s="19" t="s">
        <v>2563</v>
      </c>
      <c r="S562" s="19" t="s">
        <v>2564</v>
      </c>
      <c r="T562" s="19" t="s">
        <v>100</v>
      </c>
      <c r="U562" s="19" t="s">
        <v>192</v>
      </c>
      <c r="V562" s="19" t="s">
        <v>76</v>
      </c>
      <c r="W562" s="19" t="s">
        <v>77</v>
      </c>
      <c r="X562" s="19"/>
      <c r="Y562" s="19"/>
      <c r="Z562" s="19"/>
      <c r="AA562" s="19">
        <v>0</v>
      </c>
      <c r="AB562" s="19"/>
      <c r="AC562" s="19" t="s">
        <v>392</v>
      </c>
      <c r="AD562" s="19"/>
      <c r="AE562" s="19"/>
      <c r="AF562" s="19"/>
    </row>
    <row r="563" spans="1:34" customHeight="1" ht="42">
      <c r="A563" s="19">
        <v>553</v>
      </c>
      <c r="B563" s="19" t="s">
        <v>2423</v>
      </c>
      <c r="C563" s="19" t="s">
        <v>2005</v>
      </c>
      <c r="D563" s="19" t="str">
        <f>HYPERLINK("http://www.henontech.com/fieldsafety/harzard/harzard_show.php?rid=13328&amp;url=harzardrecs.php","托辊磨损严重，开机时划伤皮带，造成设备损坏。")</f>
        <v>托辊磨损严重，开机时划伤皮带，造成设备损坏。</v>
      </c>
      <c r="E563" s="19" t="s">
        <v>230</v>
      </c>
      <c r="F563" s="20" t="s">
        <v>42</v>
      </c>
      <c r="G563" s="21" t="s">
        <v>43</v>
      </c>
      <c r="H563" s="19" t="s">
        <v>44</v>
      </c>
      <c r="I563" s="19" t="s">
        <v>67</v>
      </c>
      <c r="J563" s="19" t="s">
        <v>46</v>
      </c>
      <c r="K563" s="19"/>
      <c r="L563" s="19" t="s">
        <v>48</v>
      </c>
      <c r="M563" s="19" t="s">
        <v>285</v>
      </c>
      <c r="N563" s="19" t="s">
        <v>2562</v>
      </c>
      <c r="O563" s="19" t="s">
        <v>285</v>
      </c>
      <c r="P563" s="19" t="s">
        <v>617</v>
      </c>
      <c r="Q563" s="19" t="s">
        <v>1730</v>
      </c>
      <c r="R563" s="19" t="s">
        <v>2563</v>
      </c>
      <c r="S563" s="19"/>
      <c r="T563" s="19" t="s">
        <v>100</v>
      </c>
      <c r="U563" s="19" t="s">
        <v>192</v>
      </c>
      <c r="V563" s="19" t="s">
        <v>101</v>
      </c>
      <c r="W563" s="19" t="s">
        <v>77</v>
      </c>
      <c r="X563" s="19" t="s">
        <v>235</v>
      </c>
      <c r="Y563" s="19" t="s">
        <v>235</v>
      </c>
      <c r="Z563" s="19" t="s">
        <v>2565</v>
      </c>
      <c r="AA563" s="19">
        <v>2</v>
      </c>
      <c r="AB563" s="19">
        <v>2</v>
      </c>
      <c r="AC563" s="19" t="s">
        <v>60</v>
      </c>
      <c r="AD563" s="19" t="s">
        <v>617</v>
      </c>
      <c r="AE563" s="19" t="s">
        <v>2177</v>
      </c>
      <c r="AF563" s="19"/>
    </row>
    <row r="564" spans="1:34" customHeight="1" ht="42">
      <c r="A564" s="19">
        <v>554</v>
      </c>
      <c r="B564" s="19" t="s">
        <v>2423</v>
      </c>
      <c r="C564" s="19" t="s">
        <v>2236</v>
      </c>
      <c r="D564" s="19" t="str">
        <f>HYPERLINK("http://www.henontech.com/fieldsafety/harzard/harzard_show.php?rid=13333&amp;url=harzardrecs.php","煤八后尾污水池清理后盖板未归位，操作员工在巡检或清理卫生时，容易造成人身伤害。")</f>
        <v>煤八后尾污水池清理后盖板未归位，操作员工在巡检或清理卫生时，容易造成人身伤害。</v>
      </c>
      <c r="E564" s="19" t="s">
        <v>54</v>
      </c>
      <c r="F564" s="20" t="s">
        <v>42</v>
      </c>
      <c r="G564" s="22" t="s">
        <v>66</v>
      </c>
      <c r="H564" s="19" t="s">
        <v>44</v>
      </c>
      <c r="I564" s="19"/>
      <c r="J564" s="19"/>
      <c r="K564" s="19"/>
      <c r="L564" s="19" t="s">
        <v>48</v>
      </c>
      <c r="M564" s="19" t="s">
        <v>285</v>
      </c>
      <c r="N564" s="19" t="s">
        <v>2566</v>
      </c>
      <c r="O564" s="19" t="s">
        <v>285</v>
      </c>
      <c r="P564" s="19" t="s">
        <v>617</v>
      </c>
      <c r="Q564" s="19" t="s">
        <v>2517</v>
      </c>
      <c r="R564" s="19" t="s">
        <v>2567</v>
      </c>
      <c r="S564" s="19"/>
      <c r="T564" s="19" t="s">
        <v>54</v>
      </c>
      <c r="U564" s="19" t="s">
        <v>192</v>
      </c>
      <c r="V564" s="19" t="s">
        <v>76</v>
      </c>
      <c r="W564" s="19" t="s">
        <v>77</v>
      </c>
      <c r="X564" s="19" t="s">
        <v>235</v>
      </c>
      <c r="Y564" s="19" t="s">
        <v>235</v>
      </c>
      <c r="Z564" s="19" t="s">
        <v>2568</v>
      </c>
      <c r="AA564" s="19">
        <v>2</v>
      </c>
      <c r="AB564" s="19">
        <v>2</v>
      </c>
      <c r="AC564" s="19" t="s">
        <v>60</v>
      </c>
      <c r="AD564" s="19" t="s">
        <v>617</v>
      </c>
      <c r="AE564" s="19" t="s">
        <v>2177</v>
      </c>
      <c r="AF564" s="19"/>
    </row>
    <row r="565" spans="1:34" customHeight="1" ht="42">
      <c r="A565" s="19">
        <v>555</v>
      </c>
      <c r="B565" s="19" t="s">
        <v>2423</v>
      </c>
      <c r="C565" s="19" t="s">
        <v>2569</v>
      </c>
      <c r="D565" s="19" t="str">
        <f>HYPERLINK("http://www.henontech.com/fieldsafety/harzard/harzard_show.php?rid=13336&amp;url=harzardrecs.php","操作工在巡检时发现阻垢剂管线法兰处喷液，走近管线喷液部位，由于没有戴护目镜，药液溅入眼内，送医院治疗。")</f>
        <v>操作工在巡检时发现阻垢剂管线法兰处喷液，走近管线喷液部位，由于没有戴护目镜，药液溅入眼内，送医院治疗。</v>
      </c>
      <c r="E565" s="19" t="s">
        <v>2570</v>
      </c>
      <c r="F565" s="25" t="s">
        <v>1853</v>
      </c>
      <c r="G565" s="21" t="s">
        <v>43</v>
      </c>
      <c r="H565" s="19" t="s">
        <v>44</v>
      </c>
      <c r="I565" s="19" t="s">
        <v>45</v>
      </c>
      <c r="J565" s="19" t="s">
        <v>68</v>
      </c>
      <c r="K565" s="19"/>
      <c r="L565" s="19"/>
      <c r="M565" s="19" t="s">
        <v>84</v>
      </c>
      <c r="N565" s="19" t="s">
        <v>2571</v>
      </c>
      <c r="O565" s="19" t="s">
        <v>84</v>
      </c>
      <c r="P565" s="19" t="s">
        <v>85</v>
      </c>
      <c r="Q565" s="19" t="s">
        <v>2132</v>
      </c>
      <c r="R565" s="19" t="s">
        <v>2572</v>
      </c>
      <c r="S565" s="19"/>
      <c r="T565" s="19" t="s">
        <v>54</v>
      </c>
      <c r="U565" s="19" t="s">
        <v>75</v>
      </c>
      <c r="V565" s="19" t="s">
        <v>56</v>
      </c>
      <c r="W565" s="19" t="s">
        <v>138</v>
      </c>
      <c r="X565" s="19" t="s">
        <v>58</v>
      </c>
      <c r="Y565" s="19"/>
      <c r="Z565" s="19" t="s">
        <v>2573</v>
      </c>
      <c r="AA565" s="19">
        <v>2</v>
      </c>
      <c r="AB565" s="19"/>
      <c r="AC565" s="19" t="s">
        <v>392</v>
      </c>
      <c r="AD565" s="19"/>
      <c r="AE565" s="19"/>
      <c r="AF565" s="19"/>
    </row>
    <row r="566" spans="1:34" customHeight="1" ht="42">
      <c r="A566" s="19">
        <v>556</v>
      </c>
      <c r="B566" s="19" t="s">
        <v>2423</v>
      </c>
      <c r="C566" s="19" t="s">
        <v>2005</v>
      </c>
      <c r="D566" s="19" t="str">
        <f>HYPERLINK("http://www.henontech.com/fieldsafety/harzard/harzard_show.php?rid=13340&amp;url=harzardrecs.php","一号给料机挡煤支架开焊，开车时掉煤严重导致西一皮带停工处理。")</f>
        <v>一号给料机挡煤支架开焊，开车时掉煤严重导致西一皮带停工处理。</v>
      </c>
      <c r="E566" s="19" t="s">
        <v>2574</v>
      </c>
      <c r="F566" s="20" t="s">
        <v>42</v>
      </c>
      <c r="G566" s="21" t="s">
        <v>43</v>
      </c>
      <c r="H566" s="19" t="s">
        <v>44</v>
      </c>
      <c r="I566" s="19" t="s">
        <v>67</v>
      </c>
      <c r="J566" s="19" t="s">
        <v>46</v>
      </c>
      <c r="K566" s="19"/>
      <c r="L566" s="19" t="s">
        <v>48</v>
      </c>
      <c r="M566" s="19" t="s">
        <v>285</v>
      </c>
      <c r="N566" s="19" t="s">
        <v>2575</v>
      </c>
      <c r="O566" s="19" t="s">
        <v>285</v>
      </c>
      <c r="P566" s="19" t="s">
        <v>617</v>
      </c>
      <c r="Q566" s="19" t="s">
        <v>1730</v>
      </c>
      <c r="R566" s="19" t="s">
        <v>2576</v>
      </c>
      <c r="S566" s="19"/>
      <c r="T566" s="19" t="s">
        <v>100</v>
      </c>
      <c r="U566" s="19" t="s">
        <v>192</v>
      </c>
      <c r="V566" s="19" t="s">
        <v>101</v>
      </c>
      <c r="W566" s="19" t="s">
        <v>77</v>
      </c>
      <c r="X566" s="19" t="s">
        <v>235</v>
      </c>
      <c r="Y566" s="19" t="s">
        <v>235</v>
      </c>
      <c r="Z566" s="19" t="s">
        <v>2577</v>
      </c>
      <c r="AA566" s="19">
        <v>2</v>
      </c>
      <c r="AB566" s="19">
        <v>2</v>
      </c>
      <c r="AC566" s="19" t="s">
        <v>60</v>
      </c>
      <c r="AD566" s="19" t="s">
        <v>617</v>
      </c>
      <c r="AE566" s="19" t="s">
        <v>2177</v>
      </c>
      <c r="AF566" s="19"/>
    </row>
    <row r="567" spans="1:34">
      <c r="A567" s="19">
        <v>557</v>
      </c>
      <c r="B567" s="19" t="s">
        <v>2177</v>
      </c>
      <c r="C567" s="19" t="s">
        <v>1925</v>
      </c>
      <c r="D567" s="19" t="str">
        <f>HYPERLINK("http://www.henontech.com/fieldsafety/harzard/harzard_show.php?rid=13343&amp;url=harzardrecs.php","电缆未按要求固定，从线架上掉落，员工经过时，造成触电")</f>
        <v>电缆未按要求固定，从线架上掉落，员工经过时，造成触电</v>
      </c>
      <c r="E567" s="19" t="s">
        <v>54</v>
      </c>
      <c r="F567" s="20" t="s">
        <v>42</v>
      </c>
      <c r="G567" s="22" t="s">
        <v>66</v>
      </c>
      <c r="H567" s="19" t="s">
        <v>44</v>
      </c>
      <c r="I567" s="19" t="s">
        <v>83</v>
      </c>
      <c r="J567" s="19" t="s">
        <v>46</v>
      </c>
      <c r="K567" s="19" t="s">
        <v>145</v>
      </c>
      <c r="L567" s="19" t="s">
        <v>48</v>
      </c>
      <c r="M567" s="19" t="s">
        <v>285</v>
      </c>
      <c r="N567" s="19" t="s">
        <v>2578</v>
      </c>
      <c r="O567" s="19" t="s">
        <v>285</v>
      </c>
      <c r="P567" s="19" t="s">
        <v>410</v>
      </c>
      <c r="Q567" s="19" t="s">
        <v>2314</v>
      </c>
      <c r="R567" s="19" t="s">
        <v>701</v>
      </c>
      <c r="S567" s="19"/>
      <c r="T567" s="19" t="s">
        <v>54</v>
      </c>
      <c r="U567" s="19" t="s">
        <v>75</v>
      </c>
      <c r="V567" s="19" t="s">
        <v>101</v>
      </c>
      <c r="W567" s="19" t="s">
        <v>77</v>
      </c>
      <c r="X567" s="19"/>
      <c r="Y567" s="19"/>
      <c r="Z567" s="19" t="s">
        <v>2579</v>
      </c>
      <c r="AA567" s="19">
        <v>1</v>
      </c>
      <c r="AB567" s="19">
        <v>1</v>
      </c>
      <c r="AC567" s="19" t="s">
        <v>60</v>
      </c>
      <c r="AD567" s="19" t="s">
        <v>410</v>
      </c>
      <c r="AE567" s="19" t="s">
        <v>2221</v>
      </c>
      <c r="AF567" s="19"/>
    </row>
    <row r="568" spans="1:34">
      <c r="A568" s="19">
        <v>558</v>
      </c>
      <c r="B568" s="19" t="s">
        <v>2177</v>
      </c>
      <c r="C568" s="19" t="s">
        <v>2580</v>
      </c>
      <c r="D568" s="19" t="str">
        <f>HYPERLINK("http://www.henontech.com/fieldsafety/harzard/harzard_show.php?rid=13350&amp;url=harzardrecs.php","东冷凝澄清槽管道拆除时未及时清理，悬挂半空中导致施工人员擦伤脸部流血")</f>
        <v>东冷凝澄清槽管道拆除时未及时清理，悬挂半空中导致施工人员擦伤脸部流血</v>
      </c>
      <c r="E568" s="19" t="s">
        <v>2581</v>
      </c>
      <c r="F568" s="20" t="s">
        <v>42</v>
      </c>
      <c r="G568" s="22" t="s">
        <v>66</v>
      </c>
      <c r="H568" s="19" t="s">
        <v>44</v>
      </c>
      <c r="I568" s="19"/>
      <c r="J568" s="19"/>
      <c r="K568" s="19" t="s">
        <v>69</v>
      </c>
      <c r="L568" s="19" t="s">
        <v>48</v>
      </c>
      <c r="M568" s="19" t="s">
        <v>70</v>
      </c>
      <c r="N568" s="19" t="s">
        <v>720</v>
      </c>
      <c r="O568" s="19" t="s">
        <v>70</v>
      </c>
      <c r="P568" s="19" t="s">
        <v>72</v>
      </c>
      <c r="Q568" s="19" t="s">
        <v>1322</v>
      </c>
      <c r="R568" s="19" t="s">
        <v>2582</v>
      </c>
      <c r="S568" s="19"/>
      <c r="T568" s="19" t="s">
        <v>54</v>
      </c>
      <c r="U568" s="19" t="s">
        <v>75</v>
      </c>
      <c r="V568" s="19" t="s">
        <v>101</v>
      </c>
      <c r="W568" s="19" t="s">
        <v>77</v>
      </c>
      <c r="X568" s="19"/>
      <c r="Y568" s="19"/>
      <c r="Z568" s="19" t="s">
        <v>2583</v>
      </c>
      <c r="AA568" s="19">
        <v>1</v>
      </c>
      <c r="AB568" s="19">
        <v>1</v>
      </c>
      <c r="AC568" s="19" t="s">
        <v>60</v>
      </c>
      <c r="AD568" s="19" t="s">
        <v>72</v>
      </c>
      <c r="AE568" s="19" t="s">
        <v>1202</v>
      </c>
      <c r="AF568" s="19"/>
    </row>
    <row r="569" spans="1:34">
      <c r="A569" s="19">
        <v>559</v>
      </c>
      <c r="B569" s="19" t="s">
        <v>2177</v>
      </c>
      <c r="C569" s="19" t="s">
        <v>1463</v>
      </c>
      <c r="D569" s="19" t="str">
        <f>HYPERLINK("http://www.henontech.com/fieldsafety/harzard/harzard_show.php?rid=13351&amp;url=harzardrecs.php","循环水操作室照明开关无防护罩，当天黑，操作工送照明灯开关时，不慎手触碰照明开关上部电线上造成操作工触电，上级漏电保护器跳闸，操作工脱离危险。")</f>
        <v>循环水操作室照明开关无防护罩，当天黑，操作工送照明灯开关时，不慎手触碰照明开关上部电线上造成操作工触电，上级漏电保护器跳闸，操作工脱离危险。</v>
      </c>
      <c r="E569" s="19" t="s">
        <v>2584</v>
      </c>
      <c r="F569" s="20" t="s">
        <v>42</v>
      </c>
      <c r="G569" s="21" t="s">
        <v>43</v>
      </c>
      <c r="H569" s="19" t="s">
        <v>44</v>
      </c>
      <c r="I569" s="19" t="s">
        <v>45</v>
      </c>
      <c r="J569" s="19" t="s">
        <v>46</v>
      </c>
      <c r="K569" s="19" t="s">
        <v>145</v>
      </c>
      <c r="L569" s="19" t="s">
        <v>48</v>
      </c>
      <c r="M569" s="19" t="s">
        <v>70</v>
      </c>
      <c r="N569" s="19" t="s">
        <v>652</v>
      </c>
      <c r="O569" s="19" t="s">
        <v>70</v>
      </c>
      <c r="P569" s="19" t="s">
        <v>72</v>
      </c>
      <c r="Q569" s="19" t="s">
        <v>1322</v>
      </c>
      <c r="R569" s="19" t="s">
        <v>2585</v>
      </c>
      <c r="S569" s="19"/>
      <c r="T569" s="19" t="s">
        <v>54</v>
      </c>
      <c r="U569" s="19" t="s">
        <v>192</v>
      </c>
      <c r="V569" s="19" t="s">
        <v>101</v>
      </c>
      <c r="W569" s="19" t="s">
        <v>77</v>
      </c>
      <c r="X569" s="19"/>
      <c r="Y569" s="19"/>
      <c r="Z569" s="19" t="s">
        <v>2586</v>
      </c>
      <c r="AA569" s="19">
        <v>1</v>
      </c>
      <c r="AB569" s="19">
        <v>1</v>
      </c>
      <c r="AC569" s="19" t="s">
        <v>60</v>
      </c>
      <c r="AD569" s="19" t="s">
        <v>72</v>
      </c>
      <c r="AE569" s="19" t="s">
        <v>2508</v>
      </c>
      <c r="AF569" s="19"/>
    </row>
    <row r="570" spans="1:34" customHeight="1" ht="42">
      <c r="A570" s="19">
        <v>560</v>
      </c>
      <c r="B570" s="19" t="s">
        <v>2177</v>
      </c>
      <c r="C570" s="19" t="s">
        <v>284</v>
      </c>
      <c r="D570" s="19" t="str">
        <f>HYPERLINK("http://www.henontech.com/fieldsafety/harzard/harzard_show.php?rid=13421&amp;url=harzardrecs.php","杂物卷入托辊，在开车时一旦不及时处理易造成托辊不能转动皮带跑偏造成皮带刮伤或撕裂！")</f>
        <v>杂物卷入托辊，在开车时一旦不及时处理易造成托辊不能转动皮带跑偏造成皮带刮伤或撕裂！</v>
      </c>
      <c r="E570" s="19" t="s">
        <v>2587</v>
      </c>
      <c r="F570" s="20" t="s">
        <v>42</v>
      </c>
      <c r="G570" s="22" t="s">
        <v>66</v>
      </c>
      <c r="H570" s="19" t="s">
        <v>44</v>
      </c>
      <c r="I570" s="19" t="s">
        <v>67</v>
      </c>
      <c r="J570" s="19" t="s">
        <v>46</v>
      </c>
      <c r="K570" s="19" t="s">
        <v>47</v>
      </c>
      <c r="L570" s="19" t="s">
        <v>48</v>
      </c>
      <c r="M570" s="19" t="s">
        <v>285</v>
      </c>
      <c r="N570" s="19" t="s">
        <v>2588</v>
      </c>
      <c r="O570" s="19" t="s">
        <v>285</v>
      </c>
      <c r="P570" s="19" t="s">
        <v>617</v>
      </c>
      <c r="Q570" s="19" t="s">
        <v>2314</v>
      </c>
      <c r="R570" s="19" t="s">
        <v>2576</v>
      </c>
      <c r="S570" s="19"/>
      <c r="T570" s="19" t="s">
        <v>100</v>
      </c>
      <c r="U570" s="19" t="s">
        <v>75</v>
      </c>
      <c r="V570" s="19" t="s">
        <v>101</v>
      </c>
      <c r="W570" s="19" t="s">
        <v>77</v>
      </c>
      <c r="X570" s="19" t="s">
        <v>235</v>
      </c>
      <c r="Y570" s="19" t="s">
        <v>235</v>
      </c>
      <c r="Z570" s="19" t="s">
        <v>2589</v>
      </c>
      <c r="AA570" s="19">
        <v>2</v>
      </c>
      <c r="AB570" s="19">
        <v>2</v>
      </c>
      <c r="AC570" s="19" t="s">
        <v>60</v>
      </c>
      <c r="AD570" s="19" t="s">
        <v>617</v>
      </c>
      <c r="AE570" s="19" t="s">
        <v>2177</v>
      </c>
      <c r="AF570" s="19"/>
    </row>
    <row r="571" spans="1:34">
      <c r="A571" s="19">
        <v>561</v>
      </c>
      <c r="B571" s="19" t="s">
        <v>2177</v>
      </c>
      <c r="C571" s="19" t="s">
        <v>1712</v>
      </c>
      <c r="D571" s="19" t="str">
        <f>HYPERLINK("http://www.henontech.com/fieldsafety/harzard/harzard_show.php?rid=13570&amp;url=harzardrecs.php","北脱硫蒸氨水管道阀门坏，维修工更换阀门时，管道内氨水未排净，维修工未带护目镜，松动螺栓时氨水泄露溅入一名维修工眼内，立刻用洗眼器清洗，后去医务室检查，右眼被氨水灼伤，回家休养7天后复工。")</f>
        <v>北脱硫蒸氨水管道阀门坏，维修工更换阀门时，管道内氨水未排净，维修工未带护目镜，松动螺栓时氨水泄露溅入一名维修工眼内，立刻用洗眼器清洗，后去医务室检查，右眼被氨水灼伤，回家休养7天后复工。</v>
      </c>
      <c r="E571" s="19" t="s">
        <v>2590</v>
      </c>
      <c r="F571" s="25" t="s">
        <v>1853</v>
      </c>
      <c r="G571" s="21" t="s">
        <v>43</v>
      </c>
      <c r="H571" s="19" t="s">
        <v>44</v>
      </c>
      <c r="I571" s="19" t="s">
        <v>45</v>
      </c>
      <c r="J571" s="19" t="s">
        <v>46</v>
      </c>
      <c r="K571" s="19" t="s">
        <v>69</v>
      </c>
      <c r="L571" s="19" t="s">
        <v>48</v>
      </c>
      <c r="M571" s="19" t="s">
        <v>70</v>
      </c>
      <c r="N571" s="19" t="s">
        <v>2591</v>
      </c>
      <c r="O571" s="19" t="s">
        <v>70</v>
      </c>
      <c r="P571" s="19" t="s">
        <v>72</v>
      </c>
      <c r="Q571" s="19" t="s">
        <v>1322</v>
      </c>
      <c r="R571" s="19" t="s">
        <v>2592</v>
      </c>
      <c r="S571" s="19"/>
      <c r="T571" s="19" t="s">
        <v>54</v>
      </c>
      <c r="U571" s="19" t="s">
        <v>55</v>
      </c>
      <c r="V571" s="19" t="s">
        <v>101</v>
      </c>
      <c r="W571" s="19" t="s">
        <v>138</v>
      </c>
      <c r="X571" s="19"/>
      <c r="Y571" s="19"/>
      <c r="Z571" s="19" t="s">
        <v>2593</v>
      </c>
      <c r="AA571" s="19">
        <v>1</v>
      </c>
      <c r="AB571" s="19"/>
      <c r="AC571" s="19" t="s">
        <v>392</v>
      </c>
      <c r="AD571" s="19"/>
      <c r="AE571" s="19"/>
      <c r="AF571" s="19"/>
    </row>
    <row r="572" spans="1:34" customHeight="1" ht="42">
      <c r="A572" s="19">
        <v>562</v>
      </c>
      <c r="B572" s="19" t="s">
        <v>2177</v>
      </c>
      <c r="C572" s="19" t="s">
        <v>2005</v>
      </c>
      <c r="D572" s="19" t="str">
        <f>HYPERLINK("http://www.henontech.com/fieldsafety/harzard/harzard_show.php?rid=13571&amp;url=harzardrecs.php","西三行灯灯头滑出绝缘防护罩，一旦在使用过程中不注意容易线路短路，电器损坏。。")</f>
        <v>西三行灯灯头滑出绝缘防护罩，一旦在使用过程中不注意容易线路短路，电器损坏。。</v>
      </c>
      <c r="E572" s="19" t="s">
        <v>2594</v>
      </c>
      <c r="F572" s="20" t="s">
        <v>42</v>
      </c>
      <c r="G572" s="21" t="s">
        <v>43</v>
      </c>
      <c r="H572" s="19" t="s">
        <v>44</v>
      </c>
      <c r="I572" s="19" t="s">
        <v>67</v>
      </c>
      <c r="J572" s="19" t="s">
        <v>46</v>
      </c>
      <c r="K572" s="19" t="s">
        <v>145</v>
      </c>
      <c r="L572" s="19" t="s">
        <v>48</v>
      </c>
      <c r="M572" s="19" t="s">
        <v>285</v>
      </c>
      <c r="N572" s="19" t="s">
        <v>2595</v>
      </c>
      <c r="O572" s="19" t="s">
        <v>285</v>
      </c>
      <c r="P572" s="19" t="s">
        <v>617</v>
      </c>
      <c r="Q572" s="19" t="s">
        <v>1730</v>
      </c>
      <c r="R572" s="19" t="s">
        <v>2596</v>
      </c>
      <c r="S572" s="19"/>
      <c r="T572" s="19" t="s">
        <v>100</v>
      </c>
      <c r="U572" s="19" t="s">
        <v>192</v>
      </c>
      <c r="V572" s="19" t="s">
        <v>101</v>
      </c>
      <c r="W572" s="19" t="s">
        <v>77</v>
      </c>
      <c r="X572" s="19" t="s">
        <v>235</v>
      </c>
      <c r="Y572" s="19" t="s">
        <v>235</v>
      </c>
      <c r="Z572" s="19" t="s">
        <v>2597</v>
      </c>
      <c r="AA572" s="19">
        <v>2</v>
      </c>
      <c r="AB572" s="19">
        <v>2</v>
      </c>
      <c r="AC572" s="19" t="s">
        <v>60</v>
      </c>
      <c r="AD572" s="19" t="s">
        <v>617</v>
      </c>
      <c r="AE572" s="19" t="s">
        <v>2177</v>
      </c>
      <c r="AF572" s="19"/>
    </row>
    <row r="573" spans="1:34" customHeight="1" ht="42">
      <c r="A573" s="19">
        <v>563</v>
      </c>
      <c r="B573" s="19" t="s">
        <v>2177</v>
      </c>
      <c r="C573" s="19" t="s">
        <v>2236</v>
      </c>
      <c r="D573" s="19" t="str">
        <f>HYPERLINK("http://www.henontech.com/fieldsafety/harzard/harzard_show.php?rid=13617&amp;url=harzardrecs.php","煤六岗位支架油漆爆裂，脱落的油漆污染环境")</f>
        <v>煤六岗位支架油漆爆裂，脱落的油漆污染环境</v>
      </c>
      <c r="E573" s="19" t="s">
        <v>270</v>
      </c>
      <c r="F573" s="20" t="s">
        <v>42</v>
      </c>
      <c r="G573" s="21" t="s">
        <v>43</v>
      </c>
      <c r="H573" s="19" t="s">
        <v>44</v>
      </c>
      <c r="I573" s="19" t="s">
        <v>67</v>
      </c>
      <c r="J573" s="19" t="s">
        <v>401</v>
      </c>
      <c r="K573" s="19" t="s">
        <v>145</v>
      </c>
      <c r="L573" s="19" t="s">
        <v>48</v>
      </c>
      <c r="M573" s="19" t="s">
        <v>285</v>
      </c>
      <c r="N573" s="19" t="s">
        <v>2598</v>
      </c>
      <c r="O573" s="19" t="s">
        <v>285</v>
      </c>
      <c r="P573" s="19" t="s">
        <v>617</v>
      </c>
      <c r="Q573" s="19" t="s">
        <v>1730</v>
      </c>
      <c r="R573" s="19" t="s">
        <v>2239</v>
      </c>
      <c r="S573" s="19"/>
      <c r="T573" s="19" t="s">
        <v>270</v>
      </c>
      <c r="U573" s="19" t="s">
        <v>192</v>
      </c>
      <c r="V573" s="19" t="s">
        <v>76</v>
      </c>
      <c r="W573" s="19" t="s">
        <v>77</v>
      </c>
      <c r="X573" s="19" t="s">
        <v>235</v>
      </c>
      <c r="Y573" s="19" t="s">
        <v>235</v>
      </c>
      <c r="Z573" s="19" t="s">
        <v>2599</v>
      </c>
      <c r="AA573" s="19">
        <v>2</v>
      </c>
      <c r="AB573" s="19">
        <v>2</v>
      </c>
      <c r="AC573" s="19" t="s">
        <v>60</v>
      </c>
      <c r="AD573" s="19" t="s">
        <v>617</v>
      </c>
      <c r="AE573" s="19" t="s">
        <v>2177</v>
      </c>
      <c r="AF573" s="19"/>
    </row>
    <row r="574" spans="1:34" customHeight="1" ht="42">
      <c r="A574" s="19">
        <v>564</v>
      </c>
      <c r="B574" s="19" t="s">
        <v>2177</v>
      </c>
      <c r="C574" s="19" t="s">
        <v>2005</v>
      </c>
      <c r="D574" s="19" t="str">
        <f>HYPERLINK("http://www.henontech.com/fieldsafety/harzard/harzard_show.php?rid=13618&amp;url=harzardrecs.php","西四皮带机上调心托辊磨损严重，造成皮带划伤")</f>
        <v>西四皮带机上调心托辊磨损严重，造成皮带划伤</v>
      </c>
      <c r="E574" s="19" t="s">
        <v>2600</v>
      </c>
      <c r="F574" s="20" t="s">
        <v>42</v>
      </c>
      <c r="G574" s="21" t="s">
        <v>43</v>
      </c>
      <c r="H574" s="19" t="s">
        <v>44</v>
      </c>
      <c r="I574" s="19" t="s">
        <v>67</v>
      </c>
      <c r="J574" s="19" t="s">
        <v>401</v>
      </c>
      <c r="K574" s="19" t="s">
        <v>47</v>
      </c>
      <c r="L574" s="19" t="s">
        <v>48</v>
      </c>
      <c r="M574" s="19" t="s">
        <v>285</v>
      </c>
      <c r="N574" s="19" t="s">
        <v>616</v>
      </c>
      <c r="O574" s="19" t="s">
        <v>285</v>
      </c>
      <c r="P574" s="19" t="s">
        <v>617</v>
      </c>
      <c r="Q574" s="19" t="s">
        <v>1730</v>
      </c>
      <c r="R574" s="19" t="s">
        <v>2601</v>
      </c>
      <c r="S574" s="19"/>
      <c r="T574" s="19" t="s">
        <v>100</v>
      </c>
      <c r="U574" s="19" t="s">
        <v>192</v>
      </c>
      <c r="V574" s="19" t="s">
        <v>271</v>
      </c>
      <c r="W574" s="19" t="s">
        <v>77</v>
      </c>
      <c r="X574" s="19" t="s">
        <v>235</v>
      </c>
      <c r="Y574" s="19" t="s">
        <v>235</v>
      </c>
      <c r="Z574" s="19" t="s">
        <v>2602</v>
      </c>
      <c r="AA574" s="19">
        <v>2</v>
      </c>
      <c r="AB574" s="19">
        <v>2</v>
      </c>
      <c r="AC574" s="19" t="s">
        <v>60</v>
      </c>
      <c r="AD574" s="19" t="s">
        <v>617</v>
      </c>
      <c r="AE574" s="19" t="s">
        <v>2177</v>
      </c>
      <c r="AF574" s="19"/>
    </row>
    <row r="575" spans="1:34">
      <c r="A575" s="19">
        <v>565</v>
      </c>
      <c r="B575" s="19" t="s">
        <v>2221</v>
      </c>
      <c r="C575" s="19" t="s">
        <v>327</v>
      </c>
      <c r="D575" s="19" t="str">
        <f>HYPERLINK("http://www.henontech.com/fieldsafety/harzard/harzard_show.php?rid=13709&amp;url=harzardrecs.php","3#站西南角电缆桥架盖板脱落，如果一名操作人员在巡检过程中经过，被掉落的盖板砸中肩部，休息片刻后不影响工作。")</f>
        <v>3#站西南角电缆桥架盖板脱落，如果一名操作人员在巡检过程中经过，被掉落的盖板砸中肩部，休息片刻后不影响工作。</v>
      </c>
      <c r="E575" s="19" t="s">
        <v>2603</v>
      </c>
      <c r="F575" s="20" t="s">
        <v>42</v>
      </c>
      <c r="G575" s="21" t="s">
        <v>43</v>
      </c>
      <c r="H575" s="19" t="s">
        <v>44</v>
      </c>
      <c r="I575" s="19" t="s">
        <v>45</v>
      </c>
      <c r="J575" s="19" t="s">
        <v>334</v>
      </c>
      <c r="K575" s="19" t="s">
        <v>69</v>
      </c>
      <c r="L575" s="19" t="s">
        <v>48</v>
      </c>
      <c r="M575" s="19" t="s">
        <v>49</v>
      </c>
      <c r="N575" s="19" t="s">
        <v>2604</v>
      </c>
      <c r="O575" s="19" t="s">
        <v>49</v>
      </c>
      <c r="P575" s="19" t="s">
        <v>523</v>
      </c>
      <c r="Q575" s="19" t="s">
        <v>1904</v>
      </c>
      <c r="R575" s="19" t="s">
        <v>2605</v>
      </c>
      <c r="S575" s="19"/>
      <c r="T575" s="19" t="s">
        <v>54</v>
      </c>
      <c r="U575" s="19" t="s">
        <v>75</v>
      </c>
      <c r="V575" s="19" t="s">
        <v>56</v>
      </c>
      <c r="W575" s="19" t="s">
        <v>138</v>
      </c>
      <c r="X575" s="19" t="s">
        <v>713</v>
      </c>
      <c r="Y575" s="19" t="s">
        <v>713</v>
      </c>
      <c r="Z575" s="19" t="s">
        <v>2606</v>
      </c>
      <c r="AA575" s="19">
        <v>1</v>
      </c>
      <c r="AB575" s="19">
        <v>1</v>
      </c>
      <c r="AC575" s="19" t="s">
        <v>60</v>
      </c>
      <c r="AD575" s="19" t="s">
        <v>523</v>
      </c>
      <c r="AE575" s="19" t="s">
        <v>1123</v>
      </c>
      <c r="AF575" s="19"/>
    </row>
    <row r="576" spans="1:34">
      <c r="A576" s="19">
        <v>566</v>
      </c>
      <c r="B576" s="19" t="s">
        <v>2221</v>
      </c>
      <c r="C576" s="19" t="s">
        <v>2607</v>
      </c>
      <c r="D576" s="19" t="str">
        <f>HYPERLINK("http://www.henontech.com/fieldsafety/harzard/harzard_show.php?rid=13727&amp;url=harzardrecs.php","输煤3号皮带机机尾有一段未按装防护栏，一名员工在巡检时右胳膊不小心被转动的托辊卷入造成左胳膊骨拆。")</f>
        <v>输煤3号皮带机机尾有一段未按装防护栏，一名员工在巡检时右胳膊不小心被转动的托辊卷入造成左胳膊骨拆。</v>
      </c>
      <c r="E576" s="19" t="s">
        <v>2608</v>
      </c>
      <c r="F576" s="24" t="s">
        <v>387</v>
      </c>
      <c r="G576" s="21" t="s">
        <v>43</v>
      </c>
      <c r="H576" s="19" t="s">
        <v>44</v>
      </c>
      <c r="I576" s="19" t="s">
        <v>67</v>
      </c>
      <c r="J576" s="19" t="s">
        <v>46</v>
      </c>
      <c r="K576" s="19" t="s">
        <v>47</v>
      </c>
      <c r="L576" s="19" t="s">
        <v>48</v>
      </c>
      <c r="M576" s="19" t="s">
        <v>84</v>
      </c>
      <c r="N576" s="19" t="s">
        <v>2609</v>
      </c>
      <c r="O576" s="19"/>
      <c r="P576" s="19"/>
      <c r="Q576" s="19"/>
      <c r="R576" s="19" t="s">
        <v>2610</v>
      </c>
      <c r="S576" s="19" t="s">
        <v>2611</v>
      </c>
      <c r="T576" s="19" t="s">
        <v>54</v>
      </c>
      <c r="U576" s="19" t="s">
        <v>55</v>
      </c>
      <c r="V576" s="19" t="s">
        <v>101</v>
      </c>
      <c r="W576" s="19" t="s">
        <v>138</v>
      </c>
      <c r="X576" s="19"/>
      <c r="Y576" s="19"/>
      <c r="Z576" s="19"/>
      <c r="AA576" s="19">
        <v>0</v>
      </c>
      <c r="AB576" s="19"/>
      <c r="AC576" s="19" t="s">
        <v>392</v>
      </c>
      <c r="AD576" s="19"/>
      <c r="AE576" s="19"/>
      <c r="AF576" s="19"/>
    </row>
    <row r="577" spans="1:34">
      <c r="A577" s="19">
        <v>567</v>
      </c>
      <c r="B577" s="19" t="s">
        <v>2221</v>
      </c>
      <c r="C577" s="19" t="s">
        <v>1111</v>
      </c>
      <c r="D577" s="19" t="str">
        <f>HYPERLINK("http://www.henontech.com/fieldsafety/harzard/harzard_show.php?rid=13734&amp;url=harzardrecs.php","西硫铵两母液槽联通过桥踏板腐蚀严重，一操作工巡检时不慎右腿踩空划伤，送医院包扎后回家休息一周，复工。")</f>
        <v>西硫铵两母液槽联通过桥踏板腐蚀严重，一操作工巡检时不慎右腿踩空划伤，送医院包扎后回家休息一周，复工。</v>
      </c>
      <c r="E577" s="19" t="s">
        <v>2612</v>
      </c>
      <c r="F577" s="25" t="s">
        <v>1853</v>
      </c>
      <c r="G577" s="21" t="s">
        <v>43</v>
      </c>
      <c r="H577" s="19" t="s">
        <v>44</v>
      </c>
      <c r="I577" s="19" t="s">
        <v>45</v>
      </c>
      <c r="J577" s="19" t="s">
        <v>46</v>
      </c>
      <c r="K577" s="19" t="s">
        <v>69</v>
      </c>
      <c r="L577" s="19" t="s">
        <v>48</v>
      </c>
      <c r="M577" s="19" t="s">
        <v>70</v>
      </c>
      <c r="N577" s="19" t="s">
        <v>395</v>
      </c>
      <c r="O577" s="19" t="s">
        <v>70</v>
      </c>
      <c r="P577" s="19" t="s">
        <v>72</v>
      </c>
      <c r="Q577" s="19" t="s">
        <v>2613</v>
      </c>
      <c r="R577" s="19" t="s">
        <v>2614</v>
      </c>
      <c r="S577" s="19"/>
      <c r="T577" s="19" t="s">
        <v>54</v>
      </c>
      <c r="U577" s="19" t="s">
        <v>75</v>
      </c>
      <c r="V577" s="19" t="s">
        <v>56</v>
      </c>
      <c r="W577" s="19" t="s">
        <v>138</v>
      </c>
      <c r="X577" s="19"/>
      <c r="Y577" s="19"/>
      <c r="Z577" s="19" t="s">
        <v>2615</v>
      </c>
      <c r="AA577" s="19">
        <v>1</v>
      </c>
      <c r="AB577" s="19"/>
      <c r="AC577" s="19" t="s">
        <v>392</v>
      </c>
      <c r="AD577" s="19"/>
      <c r="AE577" s="19"/>
      <c r="AF577" s="19"/>
    </row>
    <row r="578" spans="1:34">
      <c r="A578" s="19">
        <v>568</v>
      </c>
      <c r="B578" s="19" t="s">
        <v>2221</v>
      </c>
      <c r="C578" s="19" t="s">
        <v>1899</v>
      </c>
      <c r="D578" s="19" t="str">
        <f>HYPERLINK("http://www.henontech.com/fieldsafety/harzard/harzard_show.php?rid=13837&amp;url=harzardrecs.php","粗苯西南角爬梯护笼开焊，如果操作人员在上下爬梯时不注意被开焊的护笼划伤后背")</f>
        <v>粗苯西南角爬梯护笼开焊，如果操作人员在上下爬梯时不注意被开焊的护笼划伤后背</v>
      </c>
      <c r="E578" s="19" t="s">
        <v>2616</v>
      </c>
      <c r="F578" s="25" t="s">
        <v>1853</v>
      </c>
      <c r="G578" s="21" t="s">
        <v>43</v>
      </c>
      <c r="H578" s="19" t="s">
        <v>44</v>
      </c>
      <c r="I578" s="19" t="s">
        <v>45</v>
      </c>
      <c r="J578" s="19" t="s">
        <v>68</v>
      </c>
      <c r="K578" s="19" t="s">
        <v>166</v>
      </c>
      <c r="L578" s="19" t="s">
        <v>48</v>
      </c>
      <c r="M578" s="19" t="s">
        <v>70</v>
      </c>
      <c r="N578" s="19" t="s">
        <v>1521</v>
      </c>
      <c r="O578" s="19" t="s">
        <v>70</v>
      </c>
      <c r="P578" s="19" t="s">
        <v>72</v>
      </c>
      <c r="Q578" s="19" t="s">
        <v>1080</v>
      </c>
      <c r="R578" s="19" t="s">
        <v>2617</v>
      </c>
      <c r="S578" s="19"/>
      <c r="T578" s="19" t="s">
        <v>54</v>
      </c>
      <c r="U578" s="19" t="s">
        <v>55</v>
      </c>
      <c r="V578" s="19" t="s">
        <v>56</v>
      </c>
      <c r="W578" s="19" t="s">
        <v>57</v>
      </c>
      <c r="X578" s="19"/>
      <c r="Y578" s="19"/>
      <c r="Z578" s="19" t="s">
        <v>2618</v>
      </c>
      <c r="AA578" s="19">
        <v>1</v>
      </c>
      <c r="AB578" s="19"/>
      <c r="AC578" s="19" t="s">
        <v>392</v>
      </c>
      <c r="AD578" s="19"/>
      <c r="AE578" s="19"/>
      <c r="AF578" s="19"/>
    </row>
    <row r="579" spans="1:34">
      <c r="A579" s="19">
        <v>569</v>
      </c>
      <c r="B579" s="19" t="s">
        <v>2221</v>
      </c>
      <c r="C579" s="19" t="s">
        <v>549</v>
      </c>
      <c r="D579" s="19" t="str">
        <f>HYPERLINK("http://www.henontech.com/fieldsafety/harzard/harzard_show.php?rid=13845&amp;url=harzardrecs.php","南风机房一楼，测氧仪处水沟清理完淤泥未盖起来，如果巡检人员走到此处不注意，被挪开的盖板绊倒，造成巡检人员右腿膝盖轻微擦伤，不影响工作，轻微人身伤害")</f>
        <v>南风机房一楼，测氧仪处水沟清理完淤泥未盖起来，如果巡检人员走到此处不注意，被挪开的盖板绊倒，造成巡检人员右腿膝盖轻微擦伤，不影响工作，轻微人身伤害</v>
      </c>
      <c r="E579" s="19" t="s">
        <v>2619</v>
      </c>
      <c r="F579" s="20" t="s">
        <v>42</v>
      </c>
      <c r="G579" s="21" t="s">
        <v>43</v>
      </c>
      <c r="H579" s="19" t="s">
        <v>44</v>
      </c>
      <c r="I579" s="19" t="s">
        <v>83</v>
      </c>
      <c r="J579" s="19"/>
      <c r="K579" s="19" t="s">
        <v>69</v>
      </c>
      <c r="L579" s="19" t="s">
        <v>48</v>
      </c>
      <c r="M579" s="19" t="s">
        <v>70</v>
      </c>
      <c r="N579" s="19" t="s">
        <v>268</v>
      </c>
      <c r="O579" s="19" t="s">
        <v>70</v>
      </c>
      <c r="P579" s="19" t="s">
        <v>72</v>
      </c>
      <c r="Q579" s="19" t="s">
        <v>2620</v>
      </c>
      <c r="R579" s="19" t="s">
        <v>2621</v>
      </c>
      <c r="S579" s="19"/>
      <c r="T579" s="19" t="s">
        <v>54</v>
      </c>
      <c r="U579" s="19" t="s">
        <v>75</v>
      </c>
      <c r="V579" s="19" t="s">
        <v>56</v>
      </c>
      <c r="W579" s="19" t="s">
        <v>138</v>
      </c>
      <c r="X579" s="19"/>
      <c r="Y579" s="19"/>
      <c r="Z579" s="19" t="s">
        <v>2622</v>
      </c>
      <c r="AA579" s="19">
        <v>1</v>
      </c>
      <c r="AB579" s="19">
        <v>1</v>
      </c>
      <c r="AC579" s="19" t="s">
        <v>60</v>
      </c>
      <c r="AD579" s="19" t="s">
        <v>72</v>
      </c>
      <c r="AE579" s="19" t="s">
        <v>2508</v>
      </c>
      <c r="AF579" s="19"/>
    </row>
    <row r="580" spans="1:34">
      <c r="A580" s="19">
        <v>570</v>
      </c>
      <c r="B580" s="19" t="s">
        <v>2221</v>
      </c>
      <c r="C580" s="19" t="s">
        <v>2005</v>
      </c>
      <c r="D580" s="19" t="str">
        <f>HYPERLINK("http://www.henontech.com/fieldsafety/harzard/harzard_show.php?rid=13878&amp;url=harzardrecs.php","因防护栏套管不在规定位置起不到防护作用，巡检人员在清理卫生时手指轻微划伤，送医务室包扎后继续上班。")</f>
        <v>因防护栏套管不在规定位置起不到防护作用，巡检人员在清理卫生时手指轻微划伤，送医务室包扎后继续上班。</v>
      </c>
      <c r="E580" s="19" t="s">
        <v>2623</v>
      </c>
      <c r="F580" s="20" t="s">
        <v>42</v>
      </c>
      <c r="G580" s="21" t="s">
        <v>43</v>
      </c>
      <c r="H580" s="19" t="s">
        <v>44</v>
      </c>
      <c r="I580" s="19" t="s">
        <v>67</v>
      </c>
      <c r="J580" s="19" t="s">
        <v>46</v>
      </c>
      <c r="K580" s="19" t="s">
        <v>145</v>
      </c>
      <c r="L580" s="19" t="s">
        <v>48</v>
      </c>
      <c r="M580" s="19" t="s">
        <v>285</v>
      </c>
      <c r="N580" s="19" t="s">
        <v>2624</v>
      </c>
      <c r="O580" s="19" t="s">
        <v>285</v>
      </c>
      <c r="P580" s="19" t="s">
        <v>419</v>
      </c>
      <c r="Q580" s="19" t="s">
        <v>1139</v>
      </c>
      <c r="R580" s="19" t="s">
        <v>2388</v>
      </c>
      <c r="S580" s="19"/>
      <c r="T580" s="19" t="s">
        <v>54</v>
      </c>
      <c r="U580" s="19" t="s">
        <v>75</v>
      </c>
      <c r="V580" s="19" t="s">
        <v>76</v>
      </c>
      <c r="W580" s="19" t="s">
        <v>77</v>
      </c>
      <c r="X580" s="19"/>
      <c r="Y580" s="19"/>
      <c r="Z580" s="19" t="s">
        <v>2625</v>
      </c>
      <c r="AA580" s="19">
        <v>1</v>
      </c>
      <c r="AB580" s="19">
        <v>1</v>
      </c>
      <c r="AC580" s="19" t="s">
        <v>60</v>
      </c>
      <c r="AD580" s="19" t="s">
        <v>419</v>
      </c>
      <c r="AE580" s="19" t="s">
        <v>1139</v>
      </c>
      <c r="AF580" s="19"/>
    </row>
    <row r="581" spans="1:34">
      <c r="A581" s="19">
        <v>571</v>
      </c>
      <c r="B581" s="19" t="s">
        <v>2221</v>
      </c>
      <c r="C581" s="19" t="s">
        <v>1925</v>
      </c>
      <c r="D581" s="19" t="str">
        <f>HYPERLINK("http://www.henontech.com/fieldsafety/harzard/harzard_show.php?rid=13892&amp;url=harzardrecs.php","东四除铁器上的铁未清理，皮带一旦运行将会划伤皮带造成财产损失")</f>
        <v>东四除铁器上的铁未清理，皮带一旦运行将会划伤皮带造成财产损失</v>
      </c>
      <c r="E581" s="19" t="s">
        <v>2600</v>
      </c>
      <c r="F581" s="20" t="s">
        <v>42</v>
      </c>
      <c r="G581" s="21" t="s">
        <v>43</v>
      </c>
      <c r="H581" s="19" t="s">
        <v>44</v>
      </c>
      <c r="I581" s="19" t="s">
        <v>67</v>
      </c>
      <c r="J581" s="19" t="s">
        <v>401</v>
      </c>
      <c r="K581" s="19" t="s">
        <v>145</v>
      </c>
      <c r="L581" s="19" t="s">
        <v>48</v>
      </c>
      <c r="M581" s="19" t="s">
        <v>285</v>
      </c>
      <c r="N581" s="19" t="s">
        <v>2626</v>
      </c>
      <c r="O581" s="19" t="s">
        <v>285</v>
      </c>
      <c r="P581" s="19" t="s">
        <v>419</v>
      </c>
      <c r="Q581" s="19" t="s">
        <v>1139</v>
      </c>
      <c r="R581" s="19" t="s">
        <v>2388</v>
      </c>
      <c r="S581" s="19"/>
      <c r="T581" s="19" t="s">
        <v>100</v>
      </c>
      <c r="U581" s="19" t="s">
        <v>192</v>
      </c>
      <c r="V581" s="19" t="s">
        <v>76</v>
      </c>
      <c r="W581" s="19" t="s">
        <v>77</v>
      </c>
      <c r="X581" s="19"/>
      <c r="Y581" s="19"/>
      <c r="Z581" s="19" t="s">
        <v>2627</v>
      </c>
      <c r="AA581" s="19">
        <v>1</v>
      </c>
      <c r="AB581" s="19">
        <v>1</v>
      </c>
      <c r="AC581" s="19" t="s">
        <v>60</v>
      </c>
      <c r="AD581" s="19" t="s">
        <v>419</v>
      </c>
      <c r="AE581" s="19" t="s">
        <v>1139</v>
      </c>
      <c r="AF581" s="19"/>
    </row>
    <row r="582" spans="1:34">
      <c r="A582" s="19">
        <v>572</v>
      </c>
      <c r="B582" s="19" t="s">
        <v>2517</v>
      </c>
      <c r="C582" s="19" t="s">
        <v>1712</v>
      </c>
      <c r="D582" s="19" t="str">
        <f>HYPERLINK("http://www.henontech.com/fieldsafety/harzard/harzard_show.php?rid=14170&amp;url=harzardrecs.php","电缆接头浸在水中未进行防水防护发生漏电，巡检操作人员经过积水时被电击。")</f>
        <v>电缆接头浸在水中未进行防水防护发生漏电，巡检操作人员经过积水时被电击。</v>
      </c>
      <c r="E582" s="19" t="s">
        <v>2628</v>
      </c>
      <c r="F582" s="20" t="s">
        <v>42</v>
      </c>
      <c r="G582" s="21" t="s">
        <v>43</v>
      </c>
      <c r="H582" s="19" t="s">
        <v>44</v>
      </c>
      <c r="I582" s="19"/>
      <c r="J582" s="19" t="s">
        <v>68</v>
      </c>
      <c r="K582" s="19" t="s">
        <v>69</v>
      </c>
      <c r="L582" s="19"/>
      <c r="M582" s="19" t="s">
        <v>70</v>
      </c>
      <c r="N582" s="19" t="s">
        <v>71</v>
      </c>
      <c r="O582" s="19" t="s">
        <v>70</v>
      </c>
      <c r="P582" s="19" t="s">
        <v>72</v>
      </c>
      <c r="Q582" s="19" t="s">
        <v>1322</v>
      </c>
      <c r="R582" s="19" t="s">
        <v>2629</v>
      </c>
      <c r="S582" s="19"/>
      <c r="T582" s="19" t="s">
        <v>54</v>
      </c>
      <c r="U582" s="19" t="s">
        <v>192</v>
      </c>
      <c r="V582" s="19" t="s">
        <v>101</v>
      </c>
      <c r="W582" s="19" t="s">
        <v>77</v>
      </c>
      <c r="X582" s="19"/>
      <c r="Y582" s="19"/>
      <c r="Z582" s="19" t="s">
        <v>2630</v>
      </c>
      <c r="AA582" s="19">
        <v>1</v>
      </c>
      <c r="AB582" s="19">
        <v>1</v>
      </c>
      <c r="AC582" s="19" t="s">
        <v>60</v>
      </c>
      <c r="AD582" s="19" t="s">
        <v>72</v>
      </c>
      <c r="AE582" s="19" t="s">
        <v>1202</v>
      </c>
      <c r="AF582" s="19"/>
    </row>
    <row r="583" spans="1:34" customHeight="1" ht="42">
      <c r="A583" s="19">
        <v>573</v>
      </c>
      <c r="B583" s="19" t="s">
        <v>2517</v>
      </c>
      <c r="C583" s="19" t="s">
        <v>2631</v>
      </c>
      <c r="D583" s="19" t="str">
        <f>HYPERLINK("http://www.henontech.com/fieldsafety/harzard/harzard_show.php?rid=14215&amp;url=harzardrecs.php","巡检人员经过脱硫脱硝软水箱东侧时，由于夜间巡检人员未发现地下有个螺丝柱，不慎被绊倒磕到前面台阶，造成手臂受伤，送医救治")</f>
        <v>巡检人员经过脱硫脱硝软水箱东侧时，由于夜间巡检人员未发现地下有个螺丝柱，不慎被绊倒磕到前面台阶，造成手臂受伤，送医救治</v>
      </c>
      <c r="E583" s="19" t="s">
        <v>2632</v>
      </c>
      <c r="F583" s="20" t="s">
        <v>42</v>
      </c>
      <c r="G583" s="21" t="s">
        <v>43</v>
      </c>
      <c r="H583" s="19" t="s">
        <v>44</v>
      </c>
      <c r="I583" s="19" t="s">
        <v>45</v>
      </c>
      <c r="J583" s="19" t="s">
        <v>68</v>
      </c>
      <c r="K583" s="19" t="s">
        <v>69</v>
      </c>
      <c r="L583" s="19" t="s">
        <v>573</v>
      </c>
      <c r="M583" s="19" t="s">
        <v>117</v>
      </c>
      <c r="N583" s="19" t="s">
        <v>2633</v>
      </c>
      <c r="O583" s="19" t="s">
        <v>117</v>
      </c>
      <c r="P583" s="19" t="s">
        <v>224</v>
      </c>
      <c r="Q583" s="19" t="s">
        <v>2346</v>
      </c>
      <c r="R583" s="19" t="s">
        <v>2634</v>
      </c>
      <c r="S583" s="19"/>
      <c r="T583" s="19" t="s">
        <v>54</v>
      </c>
      <c r="U583" s="19" t="s">
        <v>55</v>
      </c>
      <c r="V583" s="19" t="s">
        <v>56</v>
      </c>
      <c r="W583" s="19" t="s">
        <v>57</v>
      </c>
      <c r="X583" s="19" t="s">
        <v>123</v>
      </c>
      <c r="Y583" s="19"/>
      <c r="Z583" s="19" t="s">
        <v>2635</v>
      </c>
      <c r="AA583" s="19">
        <v>2</v>
      </c>
      <c r="AB583" s="19">
        <v>2</v>
      </c>
      <c r="AC583" s="19" t="s">
        <v>60</v>
      </c>
      <c r="AD583" s="19" t="s">
        <v>224</v>
      </c>
      <c r="AE583" s="19" t="s">
        <v>1074</v>
      </c>
      <c r="AF583" s="19"/>
    </row>
    <row r="584" spans="1:34">
      <c r="A584" s="19">
        <v>574</v>
      </c>
      <c r="B584" s="19" t="s">
        <v>2517</v>
      </c>
      <c r="C584" s="19" t="s">
        <v>2636</v>
      </c>
      <c r="D584" s="19" t="str">
        <f>HYPERLINK("http://www.henontech.com/fieldsafety/harzard/harzard_show.php?rid=14218&amp;url=harzardrecs.php","南化产十字路口下水道盖板缺失，假如夜间人员上下班的路上，不慎跌落，未发现盖板缺失，造成脚腕受伤，送医救治")</f>
        <v>南化产十字路口下水道盖板缺失，假如夜间人员上下班的路上，不慎跌落，未发现盖板缺失，造成脚腕受伤，送医救治</v>
      </c>
      <c r="E584" s="19" t="s">
        <v>2637</v>
      </c>
      <c r="F584" s="20" t="s">
        <v>42</v>
      </c>
      <c r="G584" s="21" t="s">
        <v>43</v>
      </c>
      <c r="H584" s="19" t="s">
        <v>44</v>
      </c>
      <c r="I584" s="19" t="s">
        <v>45</v>
      </c>
      <c r="J584" s="19" t="s">
        <v>68</v>
      </c>
      <c r="K584" s="19" t="s">
        <v>69</v>
      </c>
      <c r="L584" s="19" t="s">
        <v>573</v>
      </c>
      <c r="M584" s="19" t="s">
        <v>117</v>
      </c>
      <c r="N584" s="19" t="s">
        <v>1269</v>
      </c>
      <c r="O584" s="19" t="s">
        <v>70</v>
      </c>
      <c r="P584" s="19" t="s">
        <v>72</v>
      </c>
      <c r="Q584" s="19" t="s">
        <v>1074</v>
      </c>
      <c r="R584" s="19" t="s">
        <v>2638</v>
      </c>
      <c r="S584" s="19"/>
      <c r="T584" s="19" t="s">
        <v>54</v>
      </c>
      <c r="U584" s="19" t="s">
        <v>55</v>
      </c>
      <c r="V584" s="19" t="s">
        <v>56</v>
      </c>
      <c r="W584" s="19" t="s">
        <v>57</v>
      </c>
      <c r="X584" s="19"/>
      <c r="Y584" s="19"/>
      <c r="Z584" s="19" t="s">
        <v>2639</v>
      </c>
      <c r="AA584" s="19">
        <v>1</v>
      </c>
      <c r="AB584" s="19">
        <v>1</v>
      </c>
      <c r="AC584" s="19" t="s">
        <v>60</v>
      </c>
      <c r="AD584" s="19" t="s">
        <v>72</v>
      </c>
      <c r="AE584" s="19" t="s">
        <v>2508</v>
      </c>
      <c r="AF584" s="19"/>
    </row>
    <row r="585" spans="1:34" customHeight="1" ht="42">
      <c r="A585" s="19">
        <v>575</v>
      </c>
      <c r="B585" s="19" t="s">
        <v>2517</v>
      </c>
      <c r="C585" s="19" t="s">
        <v>2452</v>
      </c>
      <c r="D585" s="19" t="str">
        <f>HYPERLINK("http://www.henontech.com/fieldsafety/harzard/harzard_show.php?rid=14223&amp;url=harzardrecs.php","假如操作工在打扫卫生时，脚不小心踢到道轨里面，不慎绊倒摔落地面，头部着地，重伤昏迷，送医救治")</f>
        <v>假如操作工在打扫卫生时，脚不小心踢到道轨里面，不慎绊倒摔落地面，头部着地，重伤昏迷，送医救治</v>
      </c>
      <c r="E585" s="19" t="s">
        <v>2154</v>
      </c>
      <c r="F585" s="20" t="s">
        <v>42</v>
      </c>
      <c r="G585" s="22" t="s">
        <v>66</v>
      </c>
      <c r="H585" s="19" t="s">
        <v>44</v>
      </c>
      <c r="I585" s="19" t="s">
        <v>45</v>
      </c>
      <c r="J585" s="19" t="s">
        <v>334</v>
      </c>
      <c r="K585" s="19" t="s">
        <v>69</v>
      </c>
      <c r="L585" s="19" t="s">
        <v>573</v>
      </c>
      <c r="M585" s="19" t="s">
        <v>117</v>
      </c>
      <c r="N585" s="19" t="s">
        <v>602</v>
      </c>
      <c r="O585" s="19" t="s">
        <v>117</v>
      </c>
      <c r="P585" s="19" t="s">
        <v>287</v>
      </c>
      <c r="Q585" s="19" t="s">
        <v>2346</v>
      </c>
      <c r="R585" s="19" t="s">
        <v>2640</v>
      </c>
      <c r="S585" s="19"/>
      <c r="T585" s="19" t="s">
        <v>54</v>
      </c>
      <c r="U585" s="19" t="s">
        <v>55</v>
      </c>
      <c r="V585" s="19" t="s">
        <v>56</v>
      </c>
      <c r="W585" s="19" t="s">
        <v>57</v>
      </c>
      <c r="X585" s="19" t="s">
        <v>123</v>
      </c>
      <c r="Y585" s="19"/>
      <c r="Z585" s="19" t="s">
        <v>2641</v>
      </c>
      <c r="AA585" s="19">
        <v>2</v>
      </c>
      <c r="AB585" s="19">
        <v>2</v>
      </c>
      <c r="AC585" s="19" t="s">
        <v>60</v>
      </c>
      <c r="AD585" s="19" t="s">
        <v>287</v>
      </c>
      <c r="AE585" s="19" t="s">
        <v>1074</v>
      </c>
      <c r="AF585" s="19"/>
    </row>
    <row r="586" spans="1:34" customHeight="1" ht="42">
      <c r="A586" s="19">
        <v>576</v>
      </c>
      <c r="B586" s="19" t="s">
        <v>2517</v>
      </c>
      <c r="C586" s="19" t="s">
        <v>463</v>
      </c>
      <c r="D586" s="19" t="str">
        <f>HYPERLINK("http://www.henontech.com/fieldsafety/harzard/harzard_show.php?rid=14225&amp;url=harzardrecs.php","现场废铁杂乱，假如夜班操作人员在巡检焦四带时，不慎被绊倒，手臂与铁件碰到，造成手臂受伤，送医救治")</f>
        <v>现场废铁杂乱，假如夜班操作人员在巡检焦四带时，不慎被绊倒，手臂与铁件碰到，造成手臂受伤，送医救治</v>
      </c>
      <c r="E586" s="19" t="s">
        <v>2642</v>
      </c>
      <c r="F586" s="20" t="s">
        <v>42</v>
      </c>
      <c r="G586" s="22" t="s">
        <v>66</v>
      </c>
      <c r="H586" s="19" t="s">
        <v>44</v>
      </c>
      <c r="I586" s="19" t="s">
        <v>45</v>
      </c>
      <c r="J586" s="19" t="s">
        <v>334</v>
      </c>
      <c r="K586" s="19" t="s">
        <v>69</v>
      </c>
      <c r="L586" s="19" t="s">
        <v>573</v>
      </c>
      <c r="M586" s="19" t="s">
        <v>117</v>
      </c>
      <c r="N586" s="19" t="s">
        <v>168</v>
      </c>
      <c r="O586" s="19" t="s">
        <v>117</v>
      </c>
      <c r="P586" s="19" t="s">
        <v>287</v>
      </c>
      <c r="Q586" s="19" t="s">
        <v>2346</v>
      </c>
      <c r="R586" s="19" t="s">
        <v>2643</v>
      </c>
      <c r="S586" s="19"/>
      <c r="T586" s="19" t="s">
        <v>54</v>
      </c>
      <c r="U586" s="19" t="s">
        <v>55</v>
      </c>
      <c r="V586" s="19" t="s">
        <v>101</v>
      </c>
      <c r="W586" s="19" t="s">
        <v>138</v>
      </c>
      <c r="X586" s="19" t="s">
        <v>123</v>
      </c>
      <c r="Y586" s="19"/>
      <c r="Z586" s="19" t="s">
        <v>2644</v>
      </c>
      <c r="AA586" s="19">
        <v>2</v>
      </c>
      <c r="AB586" s="19">
        <v>2</v>
      </c>
      <c r="AC586" s="19" t="s">
        <v>60</v>
      </c>
      <c r="AD586" s="19" t="s">
        <v>287</v>
      </c>
      <c r="AE586" s="19" t="s">
        <v>2620</v>
      </c>
      <c r="AF586" s="19"/>
    </row>
    <row r="587" spans="1:34" customHeight="1" ht="42">
      <c r="A587" s="19">
        <v>577</v>
      </c>
      <c r="B587" s="19" t="s">
        <v>2517</v>
      </c>
      <c r="C587" s="19" t="s">
        <v>2631</v>
      </c>
      <c r="D587" s="19" t="str">
        <f>HYPERLINK("http://www.henontech.com/fieldsafety/harzard/harzard_show.php?rid=14226&amp;url=harzardrecs.php","巡检人员在经过脱硝塔底部时，未发现脱硝塔上部彩钢瓦开裂掉落，砸到肩膀，送医救治")</f>
        <v>巡检人员在经过脱硝塔底部时，未发现脱硝塔上部彩钢瓦开裂掉落，砸到肩膀，送医救治</v>
      </c>
      <c r="E587" s="19" t="s">
        <v>2645</v>
      </c>
      <c r="F587" s="20" t="s">
        <v>42</v>
      </c>
      <c r="G587" s="21" t="s">
        <v>43</v>
      </c>
      <c r="H587" s="19" t="s">
        <v>44</v>
      </c>
      <c r="I587" s="19" t="s">
        <v>45</v>
      </c>
      <c r="J587" s="19" t="s">
        <v>334</v>
      </c>
      <c r="K587" s="19" t="s">
        <v>69</v>
      </c>
      <c r="L587" s="19" t="s">
        <v>573</v>
      </c>
      <c r="M587" s="19" t="s">
        <v>117</v>
      </c>
      <c r="N587" s="19" t="s">
        <v>287</v>
      </c>
      <c r="O587" s="19" t="s">
        <v>117</v>
      </c>
      <c r="P587" s="19" t="s">
        <v>287</v>
      </c>
      <c r="Q587" s="19" t="s">
        <v>2346</v>
      </c>
      <c r="R587" s="19" t="s">
        <v>2646</v>
      </c>
      <c r="S587" s="19"/>
      <c r="T587" s="19" t="s">
        <v>54</v>
      </c>
      <c r="U587" s="19" t="s">
        <v>55</v>
      </c>
      <c r="V587" s="19" t="s">
        <v>56</v>
      </c>
      <c r="W587" s="19" t="s">
        <v>57</v>
      </c>
      <c r="X587" s="19" t="s">
        <v>58</v>
      </c>
      <c r="Y587" s="19"/>
      <c r="Z587" s="19" t="s">
        <v>2647</v>
      </c>
      <c r="AA587" s="19">
        <v>2</v>
      </c>
      <c r="AB587" s="19">
        <v>2</v>
      </c>
      <c r="AC587" s="19" t="s">
        <v>60</v>
      </c>
      <c r="AD587" s="19" t="s">
        <v>287</v>
      </c>
      <c r="AE587" s="19" t="s">
        <v>1074</v>
      </c>
      <c r="AF587" s="19"/>
    </row>
    <row r="588" spans="1:34">
      <c r="A588" s="19">
        <v>578</v>
      </c>
      <c r="B588" s="19" t="s">
        <v>2648</v>
      </c>
      <c r="C588" s="19" t="s">
        <v>2005</v>
      </c>
      <c r="D588" s="19" t="str">
        <f>HYPERLINK("http://www.henontech.com/fieldsafety/harzard/harzard_show.php?rid=14244&amp;url=harzardrecs.php","西五一下托辊损坏严重，开车时划伤皮带，造成设备损坏")</f>
        <v>西五一下托辊损坏严重，开车时划伤皮带，造成设备损坏</v>
      </c>
      <c r="E588" s="19" t="s">
        <v>230</v>
      </c>
      <c r="F588" s="20" t="s">
        <v>42</v>
      </c>
      <c r="G588" s="21" t="s">
        <v>43</v>
      </c>
      <c r="H588" s="19" t="s">
        <v>44</v>
      </c>
      <c r="I588" s="19" t="s">
        <v>45</v>
      </c>
      <c r="J588" s="19" t="s">
        <v>46</v>
      </c>
      <c r="K588" s="19"/>
      <c r="L588" s="19" t="s">
        <v>48</v>
      </c>
      <c r="M588" s="19" t="s">
        <v>285</v>
      </c>
      <c r="N588" s="19" t="s">
        <v>409</v>
      </c>
      <c r="O588" s="19" t="s">
        <v>285</v>
      </c>
      <c r="P588" s="19" t="s">
        <v>410</v>
      </c>
      <c r="Q588" s="19" t="s">
        <v>1904</v>
      </c>
      <c r="R588" s="19" t="s">
        <v>2243</v>
      </c>
      <c r="S588" s="19"/>
      <c r="T588" s="19" t="s">
        <v>100</v>
      </c>
      <c r="U588" s="19" t="s">
        <v>192</v>
      </c>
      <c r="V588" s="19" t="s">
        <v>101</v>
      </c>
      <c r="W588" s="19" t="s">
        <v>77</v>
      </c>
      <c r="X588" s="19"/>
      <c r="Y588" s="19"/>
      <c r="Z588" s="19" t="s">
        <v>2649</v>
      </c>
      <c r="AA588" s="19">
        <v>1</v>
      </c>
      <c r="AB588" s="19">
        <v>1</v>
      </c>
      <c r="AC588" s="19" t="s">
        <v>60</v>
      </c>
      <c r="AD588" s="19" t="s">
        <v>410</v>
      </c>
      <c r="AE588" s="19" t="s">
        <v>1123</v>
      </c>
      <c r="AF588" s="19"/>
    </row>
    <row r="589" spans="1:34">
      <c r="A589" s="19">
        <v>579</v>
      </c>
      <c r="B589" s="19" t="s">
        <v>2648</v>
      </c>
      <c r="C589" s="19" t="s">
        <v>1118</v>
      </c>
      <c r="D589" s="19" t="str">
        <f>HYPERLINK("http://www.henontech.com/fieldsafety/harzard/harzard_show.php?rid=14268&amp;url=harzardrecs.php","旋转密封阀南北两侧爬梯未安装护栏，巡检人员下行时，右脚踩空摔落至地面，造成右手手腕轻微骨折，送医治疗。")</f>
        <v>旋转密封阀南北两侧爬梯未安装护栏，巡检人员下行时，右脚踩空摔落至地面，造成右手手腕轻微骨折，送医治疗。</v>
      </c>
      <c r="E589" s="19" t="s">
        <v>2650</v>
      </c>
      <c r="F589" s="25" t="s">
        <v>1853</v>
      </c>
      <c r="G589" s="21" t="s">
        <v>43</v>
      </c>
      <c r="H589" s="19" t="s">
        <v>44</v>
      </c>
      <c r="I589" s="19" t="s">
        <v>67</v>
      </c>
      <c r="J589" s="19" t="s">
        <v>46</v>
      </c>
      <c r="K589" s="19" t="s">
        <v>47</v>
      </c>
      <c r="L589" s="19" t="s">
        <v>48</v>
      </c>
      <c r="M589" s="19" t="s">
        <v>117</v>
      </c>
      <c r="N589" s="19" t="s">
        <v>1527</v>
      </c>
      <c r="O589" s="19" t="s">
        <v>117</v>
      </c>
      <c r="P589" s="19" t="s">
        <v>876</v>
      </c>
      <c r="Q589" s="19" t="s">
        <v>1409</v>
      </c>
      <c r="R589" s="19" t="s">
        <v>2651</v>
      </c>
      <c r="S589" s="19" t="s">
        <v>1377</v>
      </c>
      <c r="T589" s="19" t="s">
        <v>54</v>
      </c>
      <c r="U589" s="19" t="s">
        <v>55</v>
      </c>
      <c r="V589" s="19" t="s">
        <v>56</v>
      </c>
      <c r="W589" s="19" t="s">
        <v>57</v>
      </c>
      <c r="X589" s="19" t="s">
        <v>123</v>
      </c>
      <c r="Y589" s="19" t="s">
        <v>123</v>
      </c>
      <c r="Z589" s="19" t="s">
        <v>2019</v>
      </c>
      <c r="AA589" s="19">
        <v>1</v>
      </c>
      <c r="AB589" s="19"/>
      <c r="AC589" s="19" t="s">
        <v>392</v>
      </c>
      <c r="AD589" s="19"/>
      <c r="AE589" s="19"/>
      <c r="AF589" s="19"/>
    </row>
    <row r="590" spans="1:34">
      <c r="A590" s="19">
        <v>580</v>
      </c>
      <c r="B590" s="19" t="s">
        <v>2648</v>
      </c>
      <c r="C590" s="19" t="s">
        <v>380</v>
      </c>
      <c r="D590" s="19" t="str">
        <f>HYPERLINK("http://www.henontech.com/fieldsafety/harzard/harzard_show.php?rid=14356&amp;url=harzardrecs.php","除铁器废铁未及时清理，开车期间，一旦废铁接触皮带，会划伤皮带，导致非正常停车检修，经济损失一千元。")</f>
        <v>除铁器废铁未及时清理，开车期间，一旦废铁接触皮带，会划伤皮带，导致非正常停车检修，经济损失一千元。</v>
      </c>
      <c r="E590" s="19" t="s">
        <v>2652</v>
      </c>
      <c r="F590" s="20" t="s">
        <v>42</v>
      </c>
      <c r="G590" s="21" t="s">
        <v>43</v>
      </c>
      <c r="H590" s="19" t="s">
        <v>44</v>
      </c>
      <c r="I590" s="19" t="s">
        <v>45</v>
      </c>
      <c r="J590" s="19" t="s">
        <v>334</v>
      </c>
      <c r="K590" s="19" t="s">
        <v>47</v>
      </c>
      <c r="L590" s="19" t="s">
        <v>573</v>
      </c>
      <c r="M590" s="19" t="s">
        <v>285</v>
      </c>
      <c r="N590" s="19" t="s">
        <v>2653</v>
      </c>
      <c r="O590" s="19" t="s">
        <v>285</v>
      </c>
      <c r="P590" s="19" t="s">
        <v>419</v>
      </c>
      <c r="Q590" s="19" t="s">
        <v>1139</v>
      </c>
      <c r="R590" s="19" t="s">
        <v>2654</v>
      </c>
      <c r="S590" s="19"/>
      <c r="T590" s="19" t="s">
        <v>100</v>
      </c>
      <c r="U590" s="19" t="s">
        <v>192</v>
      </c>
      <c r="V590" s="19" t="s">
        <v>76</v>
      </c>
      <c r="W590" s="19" t="s">
        <v>77</v>
      </c>
      <c r="X590" s="19"/>
      <c r="Y590" s="19"/>
      <c r="Z590" s="19" t="s">
        <v>2655</v>
      </c>
      <c r="AA590" s="19">
        <v>1</v>
      </c>
      <c r="AB590" s="19">
        <v>1</v>
      </c>
      <c r="AC590" s="19" t="s">
        <v>60</v>
      </c>
      <c r="AD590" s="19" t="s">
        <v>419</v>
      </c>
      <c r="AE590" s="19" t="s">
        <v>1139</v>
      </c>
      <c r="AF590" s="19"/>
    </row>
    <row r="591" spans="1:34" customHeight="1" ht="42">
      <c r="A591" s="19">
        <v>581</v>
      </c>
      <c r="B591" s="19" t="s">
        <v>2648</v>
      </c>
      <c r="C591" s="19" t="s">
        <v>1500</v>
      </c>
      <c r="D591" s="19" t="str">
        <f>HYPERLINK("http://www.henontech.com/fieldsafety/harzard/harzard_show.php?rid=14396&amp;url=harzardrecs.php","推焦车载除尘烟囱盖板腐蚀开焊，被启动的风机吹得撬起，万一在员工设备巡检时不慎掉落，划到脸部造成伤害事故。")</f>
        <v>推焦车载除尘烟囱盖板腐蚀开焊，被启动的风机吹得撬起，万一在员工设备巡检时不慎掉落，划到脸部造成伤害事故。</v>
      </c>
      <c r="E591" s="19" t="s">
        <v>2656</v>
      </c>
      <c r="F591" s="20" t="s">
        <v>42</v>
      </c>
      <c r="G591" s="22" t="s">
        <v>66</v>
      </c>
      <c r="H591" s="19" t="s">
        <v>44</v>
      </c>
      <c r="I591" s="19" t="s">
        <v>67</v>
      </c>
      <c r="J591" s="19" t="s">
        <v>401</v>
      </c>
      <c r="K591" s="19" t="s">
        <v>69</v>
      </c>
      <c r="L591" s="19" t="s">
        <v>573</v>
      </c>
      <c r="M591" s="19" t="s">
        <v>117</v>
      </c>
      <c r="N591" s="19" t="s">
        <v>1283</v>
      </c>
      <c r="O591" s="19" t="s">
        <v>117</v>
      </c>
      <c r="P591" s="19" t="s">
        <v>287</v>
      </c>
      <c r="Q591" s="19" t="s">
        <v>2346</v>
      </c>
      <c r="R591" s="19" t="s">
        <v>2657</v>
      </c>
      <c r="S591" s="19"/>
      <c r="T591" s="19" t="s">
        <v>54</v>
      </c>
      <c r="U591" s="19" t="s">
        <v>55</v>
      </c>
      <c r="V591" s="19" t="s">
        <v>56</v>
      </c>
      <c r="W591" s="19" t="s">
        <v>57</v>
      </c>
      <c r="X591" s="19" t="s">
        <v>123</v>
      </c>
      <c r="Y591" s="19"/>
      <c r="Z591" s="19" t="s">
        <v>2658</v>
      </c>
      <c r="AA591" s="19">
        <v>2</v>
      </c>
      <c r="AB591" s="19">
        <v>2</v>
      </c>
      <c r="AC591" s="19" t="s">
        <v>60</v>
      </c>
      <c r="AD591" s="19" t="s">
        <v>287</v>
      </c>
      <c r="AE591" s="19" t="s">
        <v>1074</v>
      </c>
      <c r="AF591" s="19"/>
    </row>
    <row r="592" spans="1:34">
      <c r="A592" s="19">
        <v>582</v>
      </c>
      <c r="B592" s="19" t="s">
        <v>2648</v>
      </c>
      <c r="C592" s="19" t="s">
        <v>2636</v>
      </c>
      <c r="D592" s="19" t="str">
        <f>HYPERLINK("http://www.henontech.com/fieldsafety/harzard/harzard_show.php?rid=14436&amp;url=harzardrecs.php","mvR北侧框架管道上有木板等杂物，如果一名操作工在框架下面打扫地面卫生时，由于风大框架上木板坠落造成操作工右肩膀砸伤去医务室处理伤口后回家休息两天后正常上班")</f>
        <v>mvR北侧框架管道上有木板等杂物，如果一名操作工在框架下面打扫地面卫生时，由于风大框架上木板坠落造成操作工右肩膀砸伤去医务室处理伤口后回家休息两天后正常上班</v>
      </c>
      <c r="E592" s="19" t="s">
        <v>2659</v>
      </c>
      <c r="F592" s="20" t="s">
        <v>42</v>
      </c>
      <c r="G592" s="21" t="s">
        <v>43</v>
      </c>
      <c r="H592" s="19" t="s">
        <v>44</v>
      </c>
      <c r="I592" s="19" t="s">
        <v>67</v>
      </c>
      <c r="J592" s="19" t="s">
        <v>401</v>
      </c>
      <c r="K592" s="19" t="s">
        <v>69</v>
      </c>
      <c r="L592" s="19" t="s">
        <v>48</v>
      </c>
      <c r="M592" s="19" t="s">
        <v>70</v>
      </c>
      <c r="N592" s="19" t="s">
        <v>2660</v>
      </c>
      <c r="O592" s="19" t="s">
        <v>70</v>
      </c>
      <c r="P592" s="19" t="s">
        <v>72</v>
      </c>
      <c r="Q592" s="19" t="s">
        <v>1322</v>
      </c>
      <c r="R592" s="19" t="s">
        <v>2661</v>
      </c>
      <c r="S592" s="19"/>
      <c r="T592" s="19" t="s">
        <v>54</v>
      </c>
      <c r="U592" s="19" t="s">
        <v>75</v>
      </c>
      <c r="V592" s="19" t="s">
        <v>101</v>
      </c>
      <c r="W592" s="19" t="s">
        <v>77</v>
      </c>
      <c r="X592" s="19"/>
      <c r="Y592" s="19"/>
      <c r="Z592" s="19" t="s">
        <v>2662</v>
      </c>
      <c r="AA592" s="19">
        <v>1</v>
      </c>
      <c r="AB592" s="19">
        <v>1</v>
      </c>
      <c r="AC592" s="19" t="s">
        <v>60</v>
      </c>
      <c r="AD592" s="19" t="s">
        <v>72</v>
      </c>
      <c r="AE592" s="19" t="s">
        <v>1074</v>
      </c>
      <c r="AF592" s="19"/>
    </row>
    <row r="593" spans="1:34">
      <c r="A593" s="19">
        <v>583</v>
      </c>
      <c r="B593" s="19" t="s">
        <v>2648</v>
      </c>
      <c r="C593" s="19" t="s">
        <v>2636</v>
      </c>
      <c r="D593" s="19" t="str">
        <f>HYPERLINK("http://www.henontech.com/fieldsafety/harzard/harzard_show.php?rid=14446&amp;url=harzardrecs.php","焦油发货室西侧水封无警示标识牌，操作工在开关水封阀门时由于水封无警示标识牌，操作工风险辨识不到位造成操作工左脚脚腕崴伤到医院治疗7天在家休息7天后正常上班损工14天。")</f>
        <v>焦油发货室西侧水封无警示标识牌，操作工在开关水封阀门时由于水封无警示标识牌，操作工风险辨识不到位造成操作工左脚脚腕崴伤到医院治疗7天在家休息7天后正常上班损工14天。</v>
      </c>
      <c r="E593" s="19" t="s">
        <v>2663</v>
      </c>
      <c r="F593" s="20" t="s">
        <v>42</v>
      </c>
      <c r="G593" s="21" t="s">
        <v>43</v>
      </c>
      <c r="H593" s="19" t="s">
        <v>44</v>
      </c>
      <c r="I593" s="19" t="s">
        <v>67</v>
      </c>
      <c r="J593" s="19" t="s">
        <v>401</v>
      </c>
      <c r="K593" s="19" t="s">
        <v>69</v>
      </c>
      <c r="L593" s="19" t="s">
        <v>48</v>
      </c>
      <c r="M593" s="19" t="s">
        <v>70</v>
      </c>
      <c r="N593" s="19" t="s">
        <v>160</v>
      </c>
      <c r="O593" s="19" t="s">
        <v>70</v>
      </c>
      <c r="P593" s="19" t="s">
        <v>72</v>
      </c>
      <c r="Q593" s="19" t="s">
        <v>1123</v>
      </c>
      <c r="R593" s="19" t="s">
        <v>2664</v>
      </c>
      <c r="S593" s="19"/>
      <c r="T593" s="19" t="s">
        <v>54</v>
      </c>
      <c r="U593" s="19" t="s">
        <v>55</v>
      </c>
      <c r="V593" s="19" t="s">
        <v>56</v>
      </c>
      <c r="W593" s="19" t="s">
        <v>57</v>
      </c>
      <c r="X593" s="19"/>
      <c r="Y593" s="19"/>
      <c r="Z593" s="19" t="s">
        <v>1897</v>
      </c>
      <c r="AA593" s="19">
        <v>1</v>
      </c>
      <c r="AB593" s="19">
        <v>1</v>
      </c>
      <c r="AC593" s="19" t="s">
        <v>60</v>
      </c>
      <c r="AD593" s="19" t="s">
        <v>72</v>
      </c>
      <c r="AE593" s="19" t="s">
        <v>2508</v>
      </c>
      <c r="AF593" s="19"/>
    </row>
    <row r="594" spans="1:34">
      <c r="A594" s="19">
        <v>584</v>
      </c>
      <c r="B594" s="19" t="s">
        <v>1950</v>
      </c>
      <c r="C594" s="19" t="s">
        <v>1925</v>
      </c>
      <c r="D594" s="19" t="str">
        <f>HYPERLINK("http://www.henontech.com/fieldsafety/harzard/harzard_show.php?rid=14496&amp;url=harzardrecs.php","东四机头吊装门未及时关闭，一旦岗位人员经过爬梯时容易磕碰到吊装门上，造成人员伤害")</f>
        <v>东四机头吊装门未及时关闭，一旦岗位人员经过爬梯时容易磕碰到吊装门上，造成人员伤害</v>
      </c>
      <c r="E594" s="19" t="s">
        <v>2665</v>
      </c>
      <c r="F594" s="20" t="s">
        <v>42</v>
      </c>
      <c r="G594" s="21" t="s">
        <v>43</v>
      </c>
      <c r="H594" s="19" t="s">
        <v>44</v>
      </c>
      <c r="I594" s="19" t="s">
        <v>45</v>
      </c>
      <c r="J594" s="19"/>
      <c r="K594" s="19"/>
      <c r="L594" s="19" t="s">
        <v>48</v>
      </c>
      <c r="M594" s="19" t="s">
        <v>285</v>
      </c>
      <c r="N594" s="19" t="s">
        <v>2666</v>
      </c>
      <c r="O594" s="19" t="s">
        <v>285</v>
      </c>
      <c r="P594" s="19" t="s">
        <v>410</v>
      </c>
      <c r="Q594" s="19" t="s">
        <v>1904</v>
      </c>
      <c r="R594" s="19" t="s">
        <v>2388</v>
      </c>
      <c r="S594" s="19"/>
      <c r="T594" s="19" t="s">
        <v>54</v>
      </c>
      <c r="U594" s="19" t="s">
        <v>75</v>
      </c>
      <c r="V594" s="19" t="s">
        <v>56</v>
      </c>
      <c r="W594" s="19" t="s">
        <v>138</v>
      </c>
      <c r="X594" s="19"/>
      <c r="Y594" s="19"/>
      <c r="Z594" s="19" t="s">
        <v>2667</v>
      </c>
      <c r="AA594" s="19">
        <v>1</v>
      </c>
      <c r="AB594" s="19">
        <v>1</v>
      </c>
      <c r="AC594" s="19" t="s">
        <v>60</v>
      </c>
      <c r="AD594" s="19" t="s">
        <v>410</v>
      </c>
      <c r="AE594" s="19" t="s">
        <v>1123</v>
      </c>
      <c r="AF594" s="19"/>
    </row>
    <row r="595" spans="1:34">
      <c r="A595" s="19">
        <v>585</v>
      </c>
      <c r="B595" s="19" t="s">
        <v>1950</v>
      </c>
      <c r="C595" s="19" t="s">
        <v>1118</v>
      </c>
      <c r="D595" s="19" t="str">
        <f>HYPERLINK("http://www.henontech.com/fieldsafety/harzard/harzard_show.php?rid=14509&amp;url=harzardrecs.php","环境除尘集合刮板机链条盒腐烂严重，巡检人员检查刮板机时，右手袖口被转动的链条缠住，导致巡检工右臂卷进链条中，送医治疗。")</f>
        <v>环境除尘集合刮板机链条盒腐烂严重，巡检人员检查刮板机时，右手袖口被转动的链条缠住，导致巡检工右臂卷进链条中，送医治疗。</v>
      </c>
      <c r="E595" s="19" t="s">
        <v>2668</v>
      </c>
      <c r="F595" s="20" t="s">
        <v>42</v>
      </c>
      <c r="G595" s="21" t="s">
        <v>43</v>
      </c>
      <c r="H595" s="19" t="s">
        <v>44</v>
      </c>
      <c r="I595" s="19" t="s">
        <v>67</v>
      </c>
      <c r="J595" s="19" t="s">
        <v>46</v>
      </c>
      <c r="K595" s="19" t="s">
        <v>47</v>
      </c>
      <c r="L595" s="19" t="s">
        <v>48</v>
      </c>
      <c r="M595" s="19" t="s">
        <v>117</v>
      </c>
      <c r="N595" s="19" t="s">
        <v>1719</v>
      </c>
      <c r="O595" s="19" t="s">
        <v>117</v>
      </c>
      <c r="P595" s="19" t="s">
        <v>224</v>
      </c>
      <c r="Q595" s="19" t="s">
        <v>1683</v>
      </c>
      <c r="R595" s="19" t="s">
        <v>1173</v>
      </c>
      <c r="S595" s="19" t="s">
        <v>2669</v>
      </c>
      <c r="T595" s="19" t="s">
        <v>54</v>
      </c>
      <c r="U595" s="19" t="s">
        <v>55</v>
      </c>
      <c r="V595" s="19" t="s">
        <v>56</v>
      </c>
      <c r="W595" s="19" t="s">
        <v>57</v>
      </c>
      <c r="X595" s="19" t="s">
        <v>58</v>
      </c>
      <c r="Y595" s="19"/>
      <c r="Z595" s="19" t="s">
        <v>2670</v>
      </c>
      <c r="AA595" s="19">
        <v>1</v>
      </c>
      <c r="AB595" s="19">
        <v>1</v>
      </c>
      <c r="AC595" s="19" t="s">
        <v>60</v>
      </c>
      <c r="AD595" s="19" t="s">
        <v>224</v>
      </c>
      <c r="AE595" s="19" t="s">
        <v>1074</v>
      </c>
      <c r="AF595" s="19"/>
    </row>
    <row r="596" spans="1:34">
      <c r="A596" s="19">
        <v>586</v>
      </c>
      <c r="B596" s="19" t="s">
        <v>1950</v>
      </c>
      <c r="C596" s="19" t="s">
        <v>824</v>
      </c>
      <c r="D596" s="19" t="str">
        <f>HYPERLINK("http://www.henontech.com/fieldsafety/harzard/harzard_show.php?rid=14511&amp;url=harzardrecs.php","干熄炉提升机5层废弃护栏拆除不彻底，夜间由于灯光不好，操作工巡检时不慎绊倒，手掌轻微擦伤")</f>
        <v>干熄炉提升机5层废弃护栏拆除不彻底，夜间由于灯光不好，操作工巡检时不慎绊倒，手掌轻微擦伤</v>
      </c>
      <c r="E596" s="19" t="s">
        <v>2671</v>
      </c>
      <c r="F596" s="20" t="s">
        <v>42</v>
      </c>
      <c r="G596" s="21" t="s">
        <v>43</v>
      </c>
      <c r="H596" s="19" t="s">
        <v>44</v>
      </c>
      <c r="I596" s="19" t="s">
        <v>67</v>
      </c>
      <c r="J596" s="19" t="s">
        <v>334</v>
      </c>
      <c r="K596" s="19" t="s">
        <v>69</v>
      </c>
      <c r="L596" s="19" t="s">
        <v>48</v>
      </c>
      <c r="M596" s="19" t="s">
        <v>117</v>
      </c>
      <c r="N596" s="19" t="s">
        <v>1325</v>
      </c>
      <c r="O596" s="19" t="s">
        <v>117</v>
      </c>
      <c r="P596" s="19" t="s">
        <v>876</v>
      </c>
      <c r="Q596" s="19" t="s">
        <v>1409</v>
      </c>
      <c r="R596" s="19" t="s">
        <v>2672</v>
      </c>
      <c r="S596" s="19" t="s">
        <v>2673</v>
      </c>
      <c r="T596" s="19" t="s">
        <v>54</v>
      </c>
      <c r="U596" s="19" t="s">
        <v>75</v>
      </c>
      <c r="V596" s="19" t="s">
        <v>101</v>
      </c>
      <c r="W596" s="19" t="s">
        <v>77</v>
      </c>
      <c r="X596" s="19" t="s">
        <v>172</v>
      </c>
      <c r="Y596" s="19" t="s">
        <v>172</v>
      </c>
      <c r="Z596" s="19" t="s">
        <v>2288</v>
      </c>
      <c r="AA596" s="19">
        <v>1</v>
      </c>
      <c r="AB596" s="19">
        <v>1</v>
      </c>
      <c r="AC596" s="19" t="s">
        <v>60</v>
      </c>
      <c r="AD596" s="19" t="s">
        <v>876</v>
      </c>
      <c r="AE596" s="19" t="s">
        <v>1139</v>
      </c>
      <c r="AF596" s="19" t="s">
        <v>2674</v>
      </c>
    </row>
    <row r="597" spans="1:34">
      <c r="A597" s="19">
        <v>587</v>
      </c>
      <c r="B597" s="19" t="s">
        <v>1950</v>
      </c>
      <c r="C597" s="19" t="s">
        <v>1387</v>
      </c>
      <c r="D597" s="19" t="str">
        <f>HYPERLINK("http://www.henontech.com/fieldsafety/harzard/harzard_show.php?rid=14512&amp;url=harzardrecs.php","西硫铵东蒸汽管道保温铝皮松动未及时处理被大风刮落，一名巡检工经过时，左腿被划伤！")</f>
        <v>西硫铵东蒸汽管道保温铝皮松动未及时处理被大风刮落，一名巡检工经过时，左腿被划伤！</v>
      </c>
      <c r="E597" s="19" t="s">
        <v>2675</v>
      </c>
      <c r="F597" s="20" t="s">
        <v>42</v>
      </c>
      <c r="G597" s="21" t="s">
        <v>43</v>
      </c>
      <c r="H597" s="19" t="s">
        <v>44</v>
      </c>
      <c r="I597" s="19" t="s">
        <v>45</v>
      </c>
      <c r="J597" s="19" t="s">
        <v>68</v>
      </c>
      <c r="K597" s="19" t="s">
        <v>69</v>
      </c>
      <c r="L597" s="19" t="s">
        <v>48</v>
      </c>
      <c r="M597" s="19" t="s">
        <v>70</v>
      </c>
      <c r="N597" s="19" t="s">
        <v>724</v>
      </c>
      <c r="O597" s="19" t="s">
        <v>70</v>
      </c>
      <c r="P597" s="19" t="s">
        <v>72</v>
      </c>
      <c r="Q597" s="19" t="s">
        <v>1080</v>
      </c>
      <c r="R597" s="19" t="s">
        <v>2676</v>
      </c>
      <c r="S597" s="19"/>
      <c r="T597" s="19" t="s">
        <v>54</v>
      </c>
      <c r="U597" s="19" t="s">
        <v>75</v>
      </c>
      <c r="V597" s="19" t="s">
        <v>56</v>
      </c>
      <c r="W597" s="19" t="s">
        <v>138</v>
      </c>
      <c r="X597" s="19"/>
      <c r="Y597" s="19"/>
      <c r="Z597" s="19" t="s">
        <v>2677</v>
      </c>
      <c r="AA597" s="19">
        <v>1</v>
      </c>
      <c r="AB597" s="19">
        <v>1</v>
      </c>
      <c r="AC597" s="19" t="s">
        <v>60</v>
      </c>
      <c r="AD597" s="19" t="s">
        <v>72</v>
      </c>
      <c r="AE597" s="19" t="s">
        <v>1202</v>
      </c>
      <c r="AF597" s="19"/>
    </row>
    <row r="598" spans="1:34">
      <c r="A598" s="19">
        <v>588</v>
      </c>
      <c r="B598" s="19" t="s">
        <v>1950</v>
      </c>
      <c r="C598" s="19" t="s">
        <v>284</v>
      </c>
      <c r="D598" s="19" t="str">
        <f>HYPERLINK("http://www.henontech.com/fieldsafety/harzard/harzard_show.php?rid=14629&amp;url=harzardrecs.php","因岗位缺损托辊一个，一旦开车极易造成胶带划伤甚至撕裂胶带。导至非正常停车20分钟。")</f>
        <v>因岗位缺损托辊一个，一旦开车极易造成胶带划伤甚至撕裂胶带。导至非正常停车20分钟。</v>
      </c>
      <c r="E598" s="19" t="s">
        <v>2678</v>
      </c>
      <c r="F598" s="20" t="s">
        <v>42</v>
      </c>
      <c r="G598" s="21" t="s">
        <v>43</v>
      </c>
      <c r="H598" s="19" t="s">
        <v>44</v>
      </c>
      <c r="I598" s="19" t="s">
        <v>67</v>
      </c>
      <c r="J598" s="19" t="s">
        <v>46</v>
      </c>
      <c r="K598" s="19" t="s">
        <v>47</v>
      </c>
      <c r="L598" s="19"/>
      <c r="M598" s="19" t="s">
        <v>285</v>
      </c>
      <c r="N598" s="19" t="s">
        <v>2679</v>
      </c>
      <c r="O598" s="19" t="s">
        <v>285</v>
      </c>
      <c r="P598" s="19" t="s">
        <v>419</v>
      </c>
      <c r="Q598" s="19" t="s">
        <v>1139</v>
      </c>
      <c r="R598" s="19" t="s">
        <v>382</v>
      </c>
      <c r="S598" s="19"/>
      <c r="T598" s="19" t="s">
        <v>100</v>
      </c>
      <c r="U598" s="19" t="s">
        <v>75</v>
      </c>
      <c r="V598" s="19" t="s">
        <v>101</v>
      </c>
      <c r="W598" s="19" t="s">
        <v>77</v>
      </c>
      <c r="X598" s="19"/>
      <c r="Y598" s="19"/>
      <c r="Z598" s="19" t="s">
        <v>2413</v>
      </c>
      <c r="AA598" s="19">
        <v>1</v>
      </c>
      <c r="AB598" s="19">
        <v>1</v>
      </c>
      <c r="AC598" s="19" t="s">
        <v>60</v>
      </c>
      <c r="AD598" s="19" t="s">
        <v>419</v>
      </c>
      <c r="AE598" s="19" t="s">
        <v>1139</v>
      </c>
      <c r="AF598" s="19"/>
    </row>
    <row r="599" spans="1:34">
      <c r="A599" s="19">
        <v>589</v>
      </c>
      <c r="B599" s="19" t="s">
        <v>1950</v>
      </c>
      <c r="C599" s="19" t="s">
        <v>106</v>
      </c>
      <c r="D599" s="19" t="str">
        <f>HYPERLINK("http://www.henontech.com/fieldsafety/harzard/harzard_show.php?rid=14646&amp;url=harzardrecs.php","移动式皮带机支架断裂，在输送硫铵过程中导致皮带跑偏，物料掉落下部，假如一人从皮带机下经过，砸伤肩部，导致肩部锁骨骨折，送医院治疗住院15天，休养2个月后复工")</f>
        <v>移动式皮带机支架断裂，在输送硫铵过程中导致皮带跑偏，物料掉落下部，假如一人从皮带机下经过，砸伤肩部，导致肩部锁骨骨折，送医院治疗住院15天，休养2个月后复工</v>
      </c>
      <c r="E599" s="19" t="s">
        <v>2680</v>
      </c>
      <c r="F599" s="20" t="s">
        <v>42</v>
      </c>
      <c r="G599" s="21" t="s">
        <v>43</v>
      </c>
      <c r="H599" s="19" t="s">
        <v>44</v>
      </c>
      <c r="I599" s="19" t="s">
        <v>45</v>
      </c>
      <c r="J599" s="19" t="s">
        <v>46</v>
      </c>
      <c r="K599" s="19" t="s">
        <v>69</v>
      </c>
      <c r="L599" s="19" t="s">
        <v>48</v>
      </c>
      <c r="M599" s="19" t="s">
        <v>70</v>
      </c>
      <c r="N599" s="19" t="s">
        <v>2681</v>
      </c>
      <c r="O599" s="19" t="s">
        <v>70</v>
      </c>
      <c r="P599" s="19" t="s">
        <v>72</v>
      </c>
      <c r="Q599" s="19" t="s">
        <v>2620</v>
      </c>
      <c r="R599" s="19" t="s">
        <v>721</v>
      </c>
      <c r="S599" s="19"/>
      <c r="T599" s="19" t="s">
        <v>54</v>
      </c>
      <c r="U599" s="19" t="s">
        <v>55</v>
      </c>
      <c r="V599" s="19" t="s">
        <v>271</v>
      </c>
      <c r="W599" s="19" t="s">
        <v>122</v>
      </c>
      <c r="X599" s="19"/>
      <c r="Y599" s="19"/>
      <c r="Z599" s="19" t="s">
        <v>2682</v>
      </c>
      <c r="AA599" s="19">
        <v>1</v>
      </c>
      <c r="AB599" s="19">
        <v>1</v>
      </c>
      <c r="AC599" s="19" t="s">
        <v>60</v>
      </c>
      <c r="AD599" s="19" t="s">
        <v>72</v>
      </c>
      <c r="AE599" s="19" t="s">
        <v>2508</v>
      </c>
      <c r="AF599" s="19"/>
    </row>
    <row r="600" spans="1:34">
      <c r="A600" s="19">
        <v>590</v>
      </c>
      <c r="B600" s="19" t="s">
        <v>1950</v>
      </c>
      <c r="C600" s="19" t="s">
        <v>2002</v>
      </c>
      <c r="D600" s="19" t="str">
        <f>HYPERLINK("http://www.henontech.com/fieldsafety/harzard/harzard_show.php?rid=14684&amp;url=harzardrecs.php","北循环水操作室吊灯坠落，一名操作工在吊灯下分析时，被砸中颈部划伤皮肤，去医务室包扎治疗后回岗位工作。")</f>
        <v>北循环水操作室吊灯坠落，一名操作工在吊灯下分析时，被砸中颈部划伤皮肤，去医务室包扎治疗后回岗位工作。</v>
      </c>
      <c r="E600" s="19" t="s">
        <v>2683</v>
      </c>
      <c r="F600" s="20" t="s">
        <v>42</v>
      </c>
      <c r="G600" s="21" t="s">
        <v>43</v>
      </c>
      <c r="H600" s="19" t="s">
        <v>44</v>
      </c>
      <c r="I600" s="19" t="s">
        <v>45</v>
      </c>
      <c r="J600" s="19" t="s">
        <v>46</v>
      </c>
      <c r="K600" s="19" t="s">
        <v>145</v>
      </c>
      <c r="L600" s="19" t="s">
        <v>48</v>
      </c>
      <c r="M600" s="19" t="s">
        <v>70</v>
      </c>
      <c r="N600" s="19" t="s">
        <v>2684</v>
      </c>
      <c r="O600" s="19" t="s">
        <v>70</v>
      </c>
      <c r="P600" s="19" t="s">
        <v>72</v>
      </c>
      <c r="Q600" s="19" t="s">
        <v>2620</v>
      </c>
      <c r="R600" s="19" t="s">
        <v>2685</v>
      </c>
      <c r="S600" s="19"/>
      <c r="T600" s="19" t="s">
        <v>54</v>
      </c>
      <c r="U600" s="19" t="s">
        <v>75</v>
      </c>
      <c r="V600" s="19" t="s">
        <v>56</v>
      </c>
      <c r="W600" s="19" t="s">
        <v>138</v>
      </c>
      <c r="X600" s="19"/>
      <c r="Y600" s="19"/>
      <c r="Z600" s="19" t="s">
        <v>2686</v>
      </c>
      <c r="AA600" s="19">
        <v>1</v>
      </c>
      <c r="AB600" s="19">
        <v>1</v>
      </c>
      <c r="AC600" s="19" t="s">
        <v>60</v>
      </c>
      <c r="AD600" s="19" t="s">
        <v>72</v>
      </c>
      <c r="AE600" s="19" t="s">
        <v>1074</v>
      </c>
      <c r="AF600" s="19"/>
    </row>
    <row r="601" spans="1:34">
      <c r="A601" s="19">
        <v>591</v>
      </c>
      <c r="B601" s="19" t="s">
        <v>1950</v>
      </c>
      <c r="C601" s="19" t="s">
        <v>2636</v>
      </c>
      <c r="D601" s="19" t="str">
        <f>HYPERLINK("http://www.henontech.com/fieldsafety/harzard/harzard_show.php?rid=14711&amp;url=harzardrecs.php","凉水塔顶部平台电缆盒盖子缺失，长时间暴晒雨淋可能导致电缆老化，绝缘性差，引起轴流风扇电机烧毁，经济损失5000元。")</f>
        <v>凉水塔顶部平台电缆盒盖子缺失，长时间暴晒雨淋可能导致电缆老化，绝缘性差，引起轴流风扇电机烧毁，经济损失5000元。</v>
      </c>
      <c r="E601" s="19" t="s">
        <v>2687</v>
      </c>
      <c r="F601" s="20" t="s">
        <v>42</v>
      </c>
      <c r="G601" s="21" t="s">
        <v>43</v>
      </c>
      <c r="H601" s="19" t="s">
        <v>44</v>
      </c>
      <c r="I601" s="19" t="s">
        <v>45</v>
      </c>
      <c r="J601" s="19" t="s">
        <v>46</v>
      </c>
      <c r="K601" s="19" t="s">
        <v>69</v>
      </c>
      <c r="L601" s="19" t="s">
        <v>48</v>
      </c>
      <c r="M601" s="19" t="s">
        <v>70</v>
      </c>
      <c r="N601" s="19" t="s">
        <v>2688</v>
      </c>
      <c r="O601" s="19" t="s">
        <v>70</v>
      </c>
      <c r="P601" s="19" t="s">
        <v>72</v>
      </c>
      <c r="Q601" s="19" t="s">
        <v>2620</v>
      </c>
      <c r="R601" s="19" t="s">
        <v>2689</v>
      </c>
      <c r="S601" s="19"/>
      <c r="T601" s="19" t="s">
        <v>100</v>
      </c>
      <c r="U601" s="19" t="s">
        <v>192</v>
      </c>
      <c r="V601" s="19" t="s">
        <v>56</v>
      </c>
      <c r="W601" s="19" t="s">
        <v>77</v>
      </c>
      <c r="X601" s="19"/>
      <c r="Y601" s="19"/>
      <c r="Z601" s="19" t="s">
        <v>2690</v>
      </c>
      <c r="AA601" s="19">
        <v>1</v>
      </c>
      <c r="AB601" s="19">
        <v>1</v>
      </c>
      <c r="AC601" s="19" t="s">
        <v>60</v>
      </c>
      <c r="AD601" s="19" t="s">
        <v>72</v>
      </c>
      <c r="AE601" s="19" t="s">
        <v>1074</v>
      </c>
      <c r="AF601" s="19"/>
    </row>
    <row r="602" spans="1:34" customHeight="1" ht="42">
      <c r="A602" s="19">
        <v>592</v>
      </c>
      <c r="B602" s="19" t="s">
        <v>1950</v>
      </c>
      <c r="C602" s="19" t="s">
        <v>407</v>
      </c>
      <c r="D602" s="19" t="str">
        <f>HYPERLINK("http://www.henontech.com/fieldsafety/harzard/harzard_show.php?rid=14719&amp;url=harzardrecs.php","东四南侧现场杂乱未能及时清理，一旦巡检人员经过容易绊倒扭伤。")</f>
        <v>东四南侧现场杂乱未能及时清理，一旦巡检人员经过容易绊倒扭伤。</v>
      </c>
      <c r="E602" s="19" t="s">
        <v>2691</v>
      </c>
      <c r="F602" s="20" t="s">
        <v>42</v>
      </c>
      <c r="G602" s="21" t="s">
        <v>43</v>
      </c>
      <c r="H602" s="19" t="s">
        <v>44</v>
      </c>
      <c r="I602" s="19" t="s">
        <v>67</v>
      </c>
      <c r="J602" s="19"/>
      <c r="K602" s="19" t="s">
        <v>69</v>
      </c>
      <c r="L602" s="19" t="s">
        <v>48</v>
      </c>
      <c r="M602" s="19" t="s">
        <v>285</v>
      </c>
      <c r="N602" s="19" t="s">
        <v>2692</v>
      </c>
      <c r="O602" s="19" t="s">
        <v>285</v>
      </c>
      <c r="P602" s="19" t="s">
        <v>617</v>
      </c>
      <c r="Q602" s="19" t="s">
        <v>1074</v>
      </c>
      <c r="R602" s="19" t="s">
        <v>2693</v>
      </c>
      <c r="S602" s="19"/>
      <c r="T602" s="19" t="s">
        <v>54</v>
      </c>
      <c r="U602" s="19" t="s">
        <v>75</v>
      </c>
      <c r="V602" s="19" t="s">
        <v>101</v>
      </c>
      <c r="W602" s="19" t="s">
        <v>77</v>
      </c>
      <c r="X602" s="19" t="s">
        <v>235</v>
      </c>
      <c r="Y602" s="19" t="s">
        <v>235</v>
      </c>
      <c r="Z602" s="19" t="s">
        <v>2694</v>
      </c>
      <c r="AA602" s="19">
        <v>2</v>
      </c>
      <c r="AB602" s="19">
        <v>2</v>
      </c>
      <c r="AC602" s="19" t="s">
        <v>60</v>
      </c>
      <c r="AD602" s="19" t="s">
        <v>617</v>
      </c>
      <c r="AE602" s="19" t="s">
        <v>1139</v>
      </c>
      <c r="AF602" s="19"/>
    </row>
    <row r="603" spans="1:34" customHeight="1" ht="42">
      <c r="A603" s="19">
        <v>593</v>
      </c>
      <c r="B603" s="19" t="s">
        <v>1950</v>
      </c>
      <c r="C603" s="19" t="s">
        <v>407</v>
      </c>
      <c r="D603" s="19" t="str">
        <f>HYPERLINK("http://www.henontech.com/fieldsafety/harzard/harzard_show.php?rid=14720&amp;url=harzardrecs.php","东五分料器处线头裸露，一旦操作工开启设备时，容易引起电灼伤")</f>
        <v>东五分料器处线头裸露，一旦操作工开启设备时，容易引起电灼伤</v>
      </c>
      <c r="E603" s="19" t="s">
        <v>2695</v>
      </c>
      <c r="F603" s="20" t="s">
        <v>42</v>
      </c>
      <c r="G603" s="21" t="s">
        <v>43</v>
      </c>
      <c r="H603" s="19" t="s">
        <v>44</v>
      </c>
      <c r="I603" s="19" t="s">
        <v>67</v>
      </c>
      <c r="J603" s="19" t="s">
        <v>46</v>
      </c>
      <c r="K603" s="19" t="s">
        <v>145</v>
      </c>
      <c r="L603" s="19" t="s">
        <v>48</v>
      </c>
      <c r="M603" s="19" t="s">
        <v>285</v>
      </c>
      <c r="N603" s="19" t="s">
        <v>2696</v>
      </c>
      <c r="O603" s="19" t="s">
        <v>285</v>
      </c>
      <c r="P603" s="19" t="s">
        <v>617</v>
      </c>
      <c r="Q603" s="19" t="s">
        <v>1074</v>
      </c>
      <c r="R603" s="19" t="s">
        <v>2050</v>
      </c>
      <c r="S603" s="19"/>
      <c r="T603" s="19" t="s">
        <v>54</v>
      </c>
      <c r="U603" s="19" t="s">
        <v>75</v>
      </c>
      <c r="V603" s="19" t="s">
        <v>56</v>
      </c>
      <c r="W603" s="19" t="s">
        <v>138</v>
      </c>
      <c r="X603" s="19" t="s">
        <v>235</v>
      </c>
      <c r="Y603" s="19" t="s">
        <v>235</v>
      </c>
      <c r="Z603" s="19" t="s">
        <v>2697</v>
      </c>
      <c r="AA603" s="19">
        <v>2</v>
      </c>
      <c r="AB603" s="19">
        <v>2</v>
      </c>
      <c r="AC603" s="19" t="s">
        <v>60</v>
      </c>
      <c r="AD603" s="19" t="s">
        <v>617</v>
      </c>
      <c r="AE603" s="19" t="s">
        <v>1139</v>
      </c>
      <c r="AF603" s="19"/>
    </row>
    <row r="604" spans="1:34" customHeight="1" ht="42">
      <c r="A604" s="19">
        <v>594</v>
      </c>
      <c r="B604" s="19" t="s">
        <v>1950</v>
      </c>
      <c r="C604" s="19" t="s">
        <v>1925</v>
      </c>
      <c r="D604" s="19" t="str">
        <f>HYPERLINK("http://www.henontech.com/fieldsafety/harzard/harzard_show.php?rid=14721&amp;url=harzardrecs.php","东五后尾上调心立辊缺失，一旦开启皮带机容易造成偏带划伤皮带")</f>
        <v>东五后尾上调心立辊缺失，一旦开启皮带机容易造成偏带划伤皮带</v>
      </c>
      <c r="E604" s="19" t="s">
        <v>2241</v>
      </c>
      <c r="F604" s="20" t="s">
        <v>42</v>
      </c>
      <c r="G604" s="21" t="s">
        <v>43</v>
      </c>
      <c r="H604" s="19" t="s">
        <v>44</v>
      </c>
      <c r="I604" s="19" t="s">
        <v>67</v>
      </c>
      <c r="J604" s="19" t="s">
        <v>46</v>
      </c>
      <c r="K604" s="19" t="s">
        <v>145</v>
      </c>
      <c r="L604" s="19"/>
      <c r="M604" s="19" t="s">
        <v>285</v>
      </c>
      <c r="N604" s="19" t="s">
        <v>2698</v>
      </c>
      <c r="O604" s="19" t="s">
        <v>285</v>
      </c>
      <c r="P604" s="19" t="s">
        <v>617</v>
      </c>
      <c r="Q604" s="19" t="s">
        <v>1074</v>
      </c>
      <c r="R604" s="19" t="s">
        <v>2050</v>
      </c>
      <c r="S604" s="19"/>
      <c r="T604" s="19" t="s">
        <v>100</v>
      </c>
      <c r="U604" s="19" t="s">
        <v>75</v>
      </c>
      <c r="V604" s="19" t="s">
        <v>56</v>
      </c>
      <c r="W604" s="19" t="s">
        <v>138</v>
      </c>
      <c r="X604" s="19" t="s">
        <v>235</v>
      </c>
      <c r="Y604" s="19" t="s">
        <v>235</v>
      </c>
      <c r="Z604" s="19" t="s">
        <v>2699</v>
      </c>
      <c r="AA604" s="19">
        <v>2</v>
      </c>
      <c r="AB604" s="19">
        <v>2</v>
      </c>
      <c r="AC604" s="19" t="s">
        <v>60</v>
      </c>
      <c r="AD604" s="19" t="s">
        <v>617</v>
      </c>
      <c r="AE604" s="19" t="s">
        <v>1139</v>
      </c>
      <c r="AF604" s="19"/>
    </row>
    <row r="605" spans="1:34">
      <c r="A605" s="19">
        <v>595</v>
      </c>
      <c r="B605" s="19" t="s">
        <v>1730</v>
      </c>
      <c r="C605" s="19" t="s">
        <v>2236</v>
      </c>
      <c r="D605" s="19" t="str">
        <f>HYPERLINK("http://www.henontech.com/fieldsafety/harzard/harzard_show.php?rid=14746&amp;url=harzardrecs.php","使用后的拖把放在了室外平台上，没有按要求定置摆放，一旦遇到大风天气拖把掉落容易造成人员伤害")</f>
        <v>使用后的拖把放在了室外平台上，没有按要求定置摆放，一旦遇到大风天气拖把掉落容易造成人员伤害</v>
      </c>
      <c r="E605" s="19" t="s">
        <v>2700</v>
      </c>
      <c r="F605" s="20" t="s">
        <v>42</v>
      </c>
      <c r="G605" s="22" t="s">
        <v>66</v>
      </c>
      <c r="H605" s="19" t="s">
        <v>44</v>
      </c>
      <c r="I605" s="19" t="s">
        <v>45</v>
      </c>
      <c r="J605" s="19"/>
      <c r="K605" s="19"/>
      <c r="L605" s="19" t="s">
        <v>48</v>
      </c>
      <c r="M605" s="19" t="s">
        <v>285</v>
      </c>
      <c r="N605" s="19" t="s">
        <v>2701</v>
      </c>
      <c r="O605" s="19" t="s">
        <v>285</v>
      </c>
      <c r="P605" s="19" t="s">
        <v>410</v>
      </c>
      <c r="Q605" s="19" t="s">
        <v>1904</v>
      </c>
      <c r="R605" s="19" t="s">
        <v>2702</v>
      </c>
      <c r="S605" s="19"/>
      <c r="T605" s="19" t="s">
        <v>54</v>
      </c>
      <c r="U605" s="19" t="s">
        <v>192</v>
      </c>
      <c r="V605" s="19" t="s">
        <v>56</v>
      </c>
      <c r="W605" s="19" t="s">
        <v>77</v>
      </c>
      <c r="X605" s="19"/>
      <c r="Y605" s="19"/>
      <c r="Z605" s="19" t="s">
        <v>2703</v>
      </c>
      <c r="AA605" s="19">
        <v>1</v>
      </c>
      <c r="AB605" s="19">
        <v>1</v>
      </c>
      <c r="AC605" s="19" t="s">
        <v>60</v>
      </c>
      <c r="AD605" s="19" t="s">
        <v>410</v>
      </c>
      <c r="AE605" s="19" t="s">
        <v>1123</v>
      </c>
      <c r="AF605" s="19"/>
    </row>
    <row r="606" spans="1:34">
      <c r="A606" s="19">
        <v>596</v>
      </c>
      <c r="B606" s="19" t="s">
        <v>1730</v>
      </c>
      <c r="C606" s="19" t="s">
        <v>221</v>
      </c>
      <c r="D606" s="19" t="str">
        <f>HYPERLINK("http://www.henontech.com/fieldsafety/harzard/harzard_show.php?rid=14764&amp;url=harzardrecs.php","4#减温减压爬梯无护栏，一操作人员从爬梯跨越管道时，左脚踩空，无护栏遮挡，从0.5米高爬梯跌落到地面，左脚脚踝扭伤，左小臂擦伤。")</f>
        <v>4#减温减压爬梯无护栏，一操作人员从爬梯跨越管道时，左脚踩空，无护栏遮挡，从0.5米高爬梯跌落到地面，左脚脚踝扭伤，左小臂擦伤。</v>
      </c>
      <c r="E606" s="19" t="s">
        <v>2704</v>
      </c>
      <c r="F606" s="25" t="s">
        <v>1853</v>
      </c>
      <c r="G606" s="21" t="s">
        <v>43</v>
      </c>
      <c r="H606" s="19" t="s">
        <v>44</v>
      </c>
      <c r="I606" s="19" t="s">
        <v>45</v>
      </c>
      <c r="J606" s="19" t="s">
        <v>68</v>
      </c>
      <c r="K606" s="19" t="s">
        <v>166</v>
      </c>
      <c r="L606" s="19"/>
      <c r="M606" s="19" t="s">
        <v>117</v>
      </c>
      <c r="N606" s="19" t="s">
        <v>1127</v>
      </c>
      <c r="O606" s="19" t="s">
        <v>117</v>
      </c>
      <c r="P606" s="19" t="s">
        <v>876</v>
      </c>
      <c r="Q606" s="19" t="s">
        <v>2346</v>
      </c>
      <c r="R606" s="19" t="s">
        <v>1574</v>
      </c>
      <c r="S606" s="19" t="s">
        <v>2705</v>
      </c>
      <c r="T606" s="19" t="s">
        <v>54</v>
      </c>
      <c r="U606" s="19" t="s">
        <v>55</v>
      </c>
      <c r="V606" s="19" t="s">
        <v>101</v>
      </c>
      <c r="W606" s="19" t="s">
        <v>138</v>
      </c>
      <c r="X606" s="19" t="s">
        <v>58</v>
      </c>
      <c r="Y606" s="19"/>
      <c r="Z606" s="19" t="s">
        <v>2706</v>
      </c>
      <c r="AA606" s="19">
        <v>1</v>
      </c>
      <c r="AB606" s="19"/>
      <c r="AC606" s="19" t="s">
        <v>392</v>
      </c>
      <c r="AD606" s="19"/>
      <c r="AE606" s="19"/>
      <c r="AF606" s="19"/>
    </row>
    <row r="607" spans="1:34">
      <c r="A607" s="19">
        <v>597</v>
      </c>
      <c r="B607" s="19" t="s">
        <v>1730</v>
      </c>
      <c r="C607" s="19" t="s">
        <v>1930</v>
      </c>
      <c r="D607" s="19" t="str">
        <f>HYPERLINK("http://www.henontech.com/fieldsafety/harzard/harzard_show.php?rid=14809&amp;url=harzardrecs.php","缓冲泵压力表损坏，缓冲泵开启时无压力回馈，如果缓冲泵运行时不上量，未及时发现可能会造成机封磨损。")</f>
        <v>缓冲泵压力表损坏，缓冲泵开启时无压力回馈，如果缓冲泵运行时不上量，未及时发现可能会造成机封磨损。</v>
      </c>
      <c r="E607" s="19" t="s">
        <v>2707</v>
      </c>
      <c r="F607" s="20" t="s">
        <v>42</v>
      </c>
      <c r="G607" s="21" t="s">
        <v>43</v>
      </c>
      <c r="H607" s="19" t="s">
        <v>44</v>
      </c>
      <c r="I607" s="19" t="s">
        <v>67</v>
      </c>
      <c r="J607" s="19" t="s">
        <v>46</v>
      </c>
      <c r="K607" s="19" t="s">
        <v>47</v>
      </c>
      <c r="L607" s="19" t="s">
        <v>48</v>
      </c>
      <c r="M607" s="19" t="s">
        <v>70</v>
      </c>
      <c r="N607" s="19" t="s">
        <v>2708</v>
      </c>
      <c r="O607" s="19" t="s">
        <v>70</v>
      </c>
      <c r="P607" s="19" t="s">
        <v>72</v>
      </c>
      <c r="Q607" s="19" t="s">
        <v>1322</v>
      </c>
      <c r="R607" s="19" t="s">
        <v>2709</v>
      </c>
      <c r="S607" s="19"/>
      <c r="T607" s="19" t="s">
        <v>100</v>
      </c>
      <c r="U607" s="19" t="s">
        <v>192</v>
      </c>
      <c r="V607" s="19" t="s">
        <v>101</v>
      </c>
      <c r="W607" s="19" t="s">
        <v>77</v>
      </c>
      <c r="X607" s="19"/>
      <c r="Y607" s="19"/>
      <c r="Z607" s="19" t="s">
        <v>2710</v>
      </c>
      <c r="AA607" s="19">
        <v>1</v>
      </c>
      <c r="AB607" s="19">
        <v>1</v>
      </c>
      <c r="AC607" s="19" t="s">
        <v>60</v>
      </c>
      <c r="AD607" s="19" t="s">
        <v>72</v>
      </c>
      <c r="AE607" s="19" t="s">
        <v>2508</v>
      </c>
      <c r="AF607" s="19"/>
    </row>
    <row r="608" spans="1:34">
      <c r="A608" s="19">
        <v>598</v>
      </c>
      <c r="B608" s="19" t="s">
        <v>1730</v>
      </c>
      <c r="C608" s="19" t="s">
        <v>380</v>
      </c>
      <c r="D608" s="19" t="str">
        <f>HYPERLINK("http://www.henontech.com/fieldsafety/harzard/harzard_show.php?rid=14832&amp;url=harzardrecs.php","灭火器处工具杂乱摆放，一旦有火灾发生，不能第一时间使用灭火器进行初始灭火，使火灾扩大化造成财产损失。")</f>
        <v>灭火器处工具杂乱摆放，一旦有火灾发生，不能第一时间使用灭火器进行初始灭火，使火灾扩大化造成财产损失。</v>
      </c>
      <c r="E608" s="19" t="s">
        <v>2711</v>
      </c>
      <c r="F608" s="20" t="s">
        <v>42</v>
      </c>
      <c r="G608" s="22" t="s">
        <v>66</v>
      </c>
      <c r="H608" s="19" t="s">
        <v>44</v>
      </c>
      <c r="I608" s="19" t="s">
        <v>67</v>
      </c>
      <c r="J608" s="19" t="s">
        <v>401</v>
      </c>
      <c r="K608" s="19" t="s">
        <v>145</v>
      </c>
      <c r="L608" s="19" t="s">
        <v>48</v>
      </c>
      <c r="M608" s="19" t="s">
        <v>285</v>
      </c>
      <c r="N608" s="19" t="s">
        <v>2712</v>
      </c>
      <c r="O608" s="19" t="s">
        <v>285</v>
      </c>
      <c r="P608" s="19" t="s">
        <v>419</v>
      </c>
      <c r="Q608" s="19" t="s">
        <v>1139</v>
      </c>
      <c r="R608" s="19" t="s">
        <v>2713</v>
      </c>
      <c r="S608" s="19"/>
      <c r="T608" s="19" t="s">
        <v>100</v>
      </c>
      <c r="U608" s="19" t="s">
        <v>192</v>
      </c>
      <c r="V608" s="19" t="s">
        <v>101</v>
      </c>
      <c r="W608" s="19" t="s">
        <v>77</v>
      </c>
      <c r="X608" s="19"/>
      <c r="Y608" s="19"/>
      <c r="Z608" s="19" t="s">
        <v>2714</v>
      </c>
      <c r="AA608" s="19">
        <v>1</v>
      </c>
      <c r="AB608" s="19">
        <v>1</v>
      </c>
      <c r="AC608" s="19" t="s">
        <v>60</v>
      </c>
      <c r="AD608" s="19" t="s">
        <v>419</v>
      </c>
      <c r="AE608" s="19" t="s">
        <v>1139</v>
      </c>
      <c r="AF608" s="19"/>
    </row>
    <row r="609" spans="1:34">
      <c r="A609" s="19">
        <v>599</v>
      </c>
      <c r="B609" s="19" t="s">
        <v>1730</v>
      </c>
      <c r="C609" s="19" t="s">
        <v>1387</v>
      </c>
      <c r="D609" s="19" t="str">
        <f>HYPERLINK("http://www.henontech.com/fieldsafety/harzard/harzard_show.php?rid=14833&amp;url=harzardrecs.php","四楼结晶槽进口管道漏母液，如果一操作人员在三楼出料时母液溅到眼睛里，造成损坏眼球。用清水清洗及时就医。造成一人损工事故")</f>
        <v>四楼结晶槽进口管道漏母液，如果一操作人员在三楼出料时母液溅到眼睛里，造成损坏眼球。用清水清洗及时就医。造成一人损工事故</v>
      </c>
      <c r="E609" s="19" t="s">
        <v>2715</v>
      </c>
      <c r="F609" s="20" t="s">
        <v>42</v>
      </c>
      <c r="G609" s="21" t="s">
        <v>43</v>
      </c>
      <c r="H609" s="19" t="s">
        <v>44</v>
      </c>
      <c r="I609" s="19" t="s">
        <v>45</v>
      </c>
      <c r="J609" s="19" t="s">
        <v>1998</v>
      </c>
      <c r="K609" s="19" t="s">
        <v>145</v>
      </c>
      <c r="L609" s="19" t="s">
        <v>48</v>
      </c>
      <c r="M609" s="19" t="s">
        <v>70</v>
      </c>
      <c r="N609" s="19" t="s">
        <v>2716</v>
      </c>
      <c r="O609" s="19" t="s">
        <v>70</v>
      </c>
      <c r="P609" s="19" t="s">
        <v>72</v>
      </c>
      <c r="Q609" s="19" t="s">
        <v>1322</v>
      </c>
      <c r="R609" s="19" t="s">
        <v>2717</v>
      </c>
      <c r="S609" s="19"/>
      <c r="T609" s="19" t="s">
        <v>54</v>
      </c>
      <c r="U609" s="19" t="s">
        <v>121</v>
      </c>
      <c r="V609" s="19" t="s">
        <v>56</v>
      </c>
      <c r="W609" s="19" t="s">
        <v>122</v>
      </c>
      <c r="X609" s="19"/>
      <c r="Y609" s="19"/>
      <c r="Z609" s="19" t="s">
        <v>2718</v>
      </c>
      <c r="AA609" s="19">
        <v>1</v>
      </c>
      <c r="AB609" s="19">
        <v>1</v>
      </c>
      <c r="AC609" s="19" t="s">
        <v>60</v>
      </c>
      <c r="AD609" s="19" t="s">
        <v>72</v>
      </c>
      <c r="AE609" s="19" t="s">
        <v>2508</v>
      </c>
      <c r="AF609" s="19"/>
    </row>
    <row r="610" spans="1:34">
      <c r="A610" s="19">
        <v>600</v>
      </c>
      <c r="B610" s="19" t="s">
        <v>1730</v>
      </c>
      <c r="C610" s="19" t="s">
        <v>2719</v>
      </c>
      <c r="D610" s="19" t="str">
        <f>HYPERLINK("http://www.henontech.com/fieldsafety/harzard/harzard_show.php?rid=14850&amp;url=harzardrecs.php","汽轮机七米新装爬梯踏板光滑，巡检人员下爬梯时，由于爬梯缺少防滑条，人员脚底打滑，滑落至地面，送医治疗。")</f>
        <v>汽轮机七米新装爬梯踏板光滑，巡检人员下爬梯时，由于爬梯缺少防滑条，人员脚底打滑，滑落至地面，送医治疗。</v>
      </c>
      <c r="E610" s="19" t="s">
        <v>2720</v>
      </c>
      <c r="F610" s="25" t="s">
        <v>1853</v>
      </c>
      <c r="G610" s="21" t="s">
        <v>43</v>
      </c>
      <c r="H610" s="19" t="s">
        <v>44</v>
      </c>
      <c r="I610" s="19" t="s">
        <v>67</v>
      </c>
      <c r="J610" s="19" t="s">
        <v>46</v>
      </c>
      <c r="K610" s="19" t="s">
        <v>166</v>
      </c>
      <c r="L610" s="19" t="s">
        <v>48</v>
      </c>
      <c r="M610" s="19" t="s">
        <v>117</v>
      </c>
      <c r="N610" s="19" t="s">
        <v>223</v>
      </c>
      <c r="O610" s="19" t="s">
        <v>117</v>
      </c>
      <c r="P610" s="19" t="s">
        <v>876</v>
      </c>
      <c r="Q610" s="19" t="s">
        <v>2346</v>
      </c>
      <c r="R610" s="19" t="s">
        <v>2721</v>
      </c>
      <c r="S610" s="19" t="s">
        <v>2722</v>
      </c>
      <c r="T610" s="19" t="s">
        <v>54</v>
      </c>
      <c r="U610" s="19" t="s">
        <v>55</v>
      </c>
      <c r="V610" s="19" t="s">
        <v>56</v>
      </c>
      <c r="W610" s="19" t="s">
        <v>57</v>
      </c>
      <c r="X610" s="19" t="s">
        <v>123</v>
      </c>
      <c r="Y610" s="19"/>
      <c r="Z610" s="19" t="s">
        <v>2723</v>
      </c>
      <c r="AA610" s="19">
        <v>1</v>
      </c>
      <c r="AB610" s="19"/>
      <c r="AC610" s="19" t="s">
        <v>392</v>
      </c>
      <c r="AD610" s="19"/>
      <c r="AE610" s="19"/>
      <c r="AF610" s="19"/>
    </row>
    <row r="611" spans="1:34">
      <c r="A611" s="19">
        <v>601</v>
      </c>
      <c r="B611" s="19" t="s">
        <v>1730</v>
      </c>
      <c r="C611" s="19" t="s">
        <v>284</v>
      </c>
      <c r="D611" s="19" t="str">
        <f>HYPERLINK("http://www.henontech.com/fieldsafety/harzard/harzard_show.php?rid=14855&amp;url=harzardrecs.php","西一3#给料机西侧挡煤板支撑架开焊，一旦供料煤将挡板撑开，将造成原料煤涌入胶带，造成非计划停车")</f>
        <v>西一3#给料机西侧挡煤板支撑架开焊，一旦供料煤将挡板撑开，将造成原料煤涌入胶带，造成非计划停车</v>
      </c>
      <c r="E611" s="19" t="s">
        <v>2724</v>
      </c>
      <c r="F611" s="20" t="s">
        <v>42</v>
      </c>
      <c r="G611" s="22" t="s">
        <v>66</v>
      </c>
      <c r="H611" s="19" t="s">
        <v>44</v>
      </c>
      <c r="I611" s="19" t="s">
        <v>45</v>
      </c>
      <c r="J611" s="19"/>
      <c r="K611" s="19"/>
      <c r="L611" s="19"/>
      <c r="M611" s="19" t="s">
        <v>285</v>
      </c>
      <c r="N611" s="19" t="s">
        <v>2725</v>
      </c>
      <c r="O611" s="19" t="s">
        <v>285</v>
      </c>
      <c r="P611" s="19" t="s">
        <v>410</v>
      </c>
      <c r="Q611" s="19" t="s">
        <v>2346</v>
      </c>
      <c r="R611" s="19" t="s">
        <v>2576</v>
      </c>
      <c r="S611" s="19"/>
      <c r="T611" s="19" t="s">
        <v>100</v>
      </c>
      <c r="U611" s="19" t="s">
        <v>192</v>
      </c>
      <c r="V611" s="19" t="s">
        <v>56</v>
      </c>
      <c r="W611" s="19" t="s">
        <v>77</v>
      </c>
      <c r="X611" s="19"/>
      <c r="Y611" s="19"/>
      <c r="Z611" s="19" t="s">
        <v>2726</v>
      </c>
      <c r="AA611" s="19">
        <v>1</v>
      </c>
      <c r="AB611" s="19">
        <v>1</v>
      </c>
      <c r="AC611" s="19" t="s">
        <v>60</v>
      </c>
      <c r="AD611" s="19" t="s">
        <v>410</v>
      </c>
      <c r="AE611" s="19" t="s">
        <v>1730</v>
      </c>
      <c r="AF611" s="19"/>
    </row>
    <row r="612" spans="1:34">
      <c r="A612" s="19">
        <v>602</v>
      </c>
      <c r="B612" s="19" t="s">
        <v>1730</v>
      </c>
      <c r="C612" s="19" t="s">
        <v>284</v>
      </c>
      <c r="D612" s="19" t="str">
        <f>HYPERLINK("http://www.henontech.com/fieldsafety/harzard/harzard_show.php?rid=14857&amp;url=harzardrecs.php","西四机头滚筒刮板变形，导致滚筒积煤不能清刮，一旦积煤多了，将造成胶带跳动偏带，带边划伤")</f>
        <v>西四机头滚筒刮板变形，导致滚筒积煤不能清刮，一旦积煤多了，将造成胶带跳动偏带，带边划伤</v>
      </c>
      <c r="E612" s="19" t="s">
        <v>2727</v>
      </c>
      <c r="F612" s="20" t="s">
        <v>42</v>
      </c>
      <c r="G612" s="22" t="s">
        <v>66</v>
      </c>
      <c r="H612" s="19" t="s">
        <v>44</v>
      </c>
      <c r="I612" s="19" t="s">
        <v>45</v>
      </c>
      <c r="J612" s="19"/>
      <c r="K612" s="19"/>
      <c r="L612" s="19"/>
      <c r="M612" s="19" t="s">
        <v>285</v>
      </c>
      <c r="N612" s="19" t="s">
        <v>2728</v>
      </c>
      <c r="O612" s="19" t="s">
        <v>285</v>
      </c>
      <c r="P612" s="19" t="s">
        <v>410</v>
      </c>
      <c r="Q612" s="19" t="s">
        <v>2346</v>
      </c>
      <c r="R612" s="19" t="s">
        <v>2272</v>
      </c>
      <c r="S612" s="19"/>
      <c r="T612" s="19" t="s">
        <v>100</v>
      </c>
      <c r="U612" s="19" t="s">
        <v>192</v>
      </c>
      <c r="V612" s="19" t="s">
        <v>56</v>
      </c>
      <c r="W612" s="19" t="s">
        <v>77</v>
      </c>
      <c r="X612" s="19" t="s">
        <v>58</v>
      </c>
      <c r="Y612" s="19"/>
      <c r="Z612" s="19" t="s">
        <v>2729</v>
      </c>
      <c r="AA612" s="19">
        <v>1</v>
      </c>
      <c r="AB612" s="19">
        <v>1</v>
      </c>
      <c r="AC612" s="19" t="s">
        <v>60</v>
      </c>
      <c r="AD612" s="19" t="s">
        <v>410</v>
      </c>
      <c r="AE612" s="19" t="s">
        <v>1730</v>
      </c>
      <c r="AF612" s="19"/>
    </row>
    <row r="613" spans="1:34">
      <c r="A613" s="19">
        <v>603</v>
      </c>
      <c r="B613" s="19" t="s">
        <v>1730</v>
      </c>
      <c r="C613" s="19" t="s">
        <v>2719</v>
      </c>
      <c r="D613" s="19" t="str">
        <f>HYPERLINK("http://www.henontech.com/fieldsafety/harzard/harzard_show.php?rid=14859&amp;url=harzardrecs.php","东四机尾清扫器刮皮磨坏，一旦积煤通过清扫器进入后尾滚筒不能及时排出，将造成煤尘飞扬，污染环境")</f>
        <v>东四机尾清扫器刮皮磨坏，一旦积煤通过清扫器进入后尾滚筒不能及时排出，将造成煤尘飞扬，污染环境</v>
      </c>
      <c r="E613" s="19" t="s">
        <v>2730</v>
      </c>
      <c r="F613" s="24" t="s">
        <v>387</v>
      </c>
      <c r="G613" s="21" t="s">
        <v>43</v>
      </c>
      <c r="H613" s="19" t="s">
        <v>44</v>
      </c>
      <c r="I613" s="19" t="s">
        <v>45</v>
      </c>
      <c r="J613" s="19"/>
      <c r="K613" s="19"/>
      <c r="L613" s="19"/>
      <c r="M613" s="19" t="s">
        <v>285</v>
      </c>
      <c r="N613" s="19" t="s">
        <v>2731</v>
      </c>
      <c r="O613" s="19"/>
      <c r="P613" s="19"/>
      <c r="Q613" s="19"/>
      <c r="R613" s="19" t="s">
        <v>2388</v>
      </c>
      <c r="S613" s="19" t="s">
        <v>2732</v>
      </c>
      <c r="T613" s="19" t="s">
        <v>270</v>
      </c>
      <c r="U613" s="19" t="s">
        <v>192</v>
      </c>
      <c r="V613" s="19" t="s">
        <v>56</v>
      </c>
      <c r="W613" s="19" t="s">
        <v>77</v>
      </c>
      <c r="X613" s="19"/>
      <c r="Y613" s="19"/>
      <c r="Z613" s="19"/>
      <c r="AA613" s="19">
        <v>0</v>
      </c>
      <c r="AB613" s="19"/>
      <c r="AC613" s="19" t="s">
        <v>392</v>
      </c>
      <c r="AD613" s="19"/>
      <c r="AE613" s="19"/>
      <c r="AF613" s="19"/>
    </row>
    <row r="614" spans="1:34">
      <c r="A614" s="19">
        <v>604</v>
      </c>
      <c r="B614" s="19" t="s">
        <v>1730</v>
      </c>
      <c r="C614" s="19" t="s">
        <v>407</v>
      </c>
      <c r="D614" s="19" t="str">
        <f>HYPERLINK("http://www.henontech.com/fieldsafety/harzard/harzard_show.php?rid=14861&amp;url=harzardrecs.php","东四机尾清扫器刮皮磨坏，一旦积煤通过清扫器进入后尾滚筒不能及时排出，将造成煤尘飞扬，污染环境")</f>
        <v>东四机尾清扫器刮皮磨坏，一旦积煤通过清扫器进入后尾滚筒不能及时排出，将造成煤尘飞扬，污染环境</v>
      </c>
      <c r="E614" s="19" t="s">
        <v>2733</v>
      </c>
      <c r="F614" s="20" t="s">
        <v>42</v>
      </c>
      <c r="G614" s="22" t="s">
        <v>66</v>
      </c>
      <c r="H614" s="19" t="s">
        <v>44</v>
      </c>
      <c r="I614" s="19" t="s">
        <v>45</v>
      </c>
      <c r="J614" s="19"/>
      <c r="K614" s="19"/>
      <c r="L614" s="19"/>
      <c r="M614" s="19" t="s">
        <v>285</v>
      </c>
      <c r="N614" s="19" t="s">
        <v>2731</v>
      </c>
      <c r="O614" s="19" t="s">
        <v>285</v>
      </c>
      <c r="P614" s="19" t="s">
        <v>410</v>
      </c>
      <c r="Q614" s="19" t="s">
        <v>2346</v>
      </c>
      <c r="R614" s="19" t="s">
        <v>2388</v>
      </c>
      <c r="S614" s="19"/>
      <c r="T614" s="19" t="s">
        <v>270</v>
      </c>
      <c r="U614" s="19" t="s">
        <v>192</v>
      </c>
      <c r="V614" s="19" t="s">
        <v>56</v>
      </c>
      <c r="W614" s="19" t="s">
        <v>77</v>
      </c>
      <c r="X614" s="19"/>
      <c r="Y614" s="19"/>
      <c r="Z614" s="19" t="s">
        <v>2734</v>
      </c>
      <c r="AA614" s="19">
        <v>1</v>
      </c>
      <c r="AB614" s="19">
        <v>1</v>
      </c>
      <c r="AC614" s="19" t="s">
        <v>60</v>
      </c>
      <c r="AD614" s="19" t="s">
        <v>410</v>
      </c>
      <c r="AE614" s="19" t="s">
        <v>1730</v>
      </c>
      <c r="AF614" s="19"/>
    </row>
    <row r="615" spans="1:34">
      <c r="A615" s="19">
        <v>605</v>
      </c>
      <c r="B615" s="19" t="s">
        <v>1730</v>
      </c>
      <c r="C615" s="19" t="s">
        <v>2735</v>
      </c>
      <c r="D615" s="19" t="str">
        <f>HYPERLINK("http://www.henontech.com/fieldsafety/harzard/harzard_show.php?rid=14876&amp;url=harzardrecs.php","汽轮机汽封加热器阀门裸露，未做保温处理，一名操作工在进行开关阀门时由于疏忽大意，不慎烫伤小臂。送医院治疗，一周后复工。")</f>
        <v>汽轮机汽封加热器阀门裸露，未做保温处理，一名操作工在进行开关阀门时由于疏忽大意，不慎烫伤小臂。送医院治疗，一周后复工。</v>
      </c>
      <c r="E615" s="19" t="s">
        <v>2736</v>
      </c>
      <c r="F615" s="24" t="s">
        <v>387</v>
      </c>
      <c r="G615" s="21" t="s">
        <v>43</v>
      </c>
      <c r="H615" s="19" t="s">
        <v>44</v>
      </c>
      <c r="I615" s="19" t="s">
        <v>45</v>
      </c>
      <c r="J615" s="19" t="s">
        <v>68</v>
      </c>
      <c r="K615" s="19" t="s">
        <v>47</v>
      </c>
      <c r="L615" s="19" t="s">
        <v>48</v>
      </c>
      <c r="M615" s="19" t="s">
        <v>84</v>
      </c>
      <c r="N615" s="19" t="s">
        <v>2737</v>
      </c>
      <c r="O615" s="19"/>
      <c r="P615" s="19"/>
      <c r="Q615" s="19"/>
      <c r="R615" s="19" t="s">
        <v>221</v>
      </c>
      <c r="S615" s="19" t="s">
        <v>2095</v>
      </c>
      <c r="T615" s="19" t="s">
        <v>54</v>
      </c>
      <c r="U615" s="19" t="s">
        <v>75</v>
      </c>
      <c r="V615" s="19" t="s">
        <v>56</v>
      </c>
      <c r="W615" s="19" t="s">
        <v>138</v>
      </c>
      <c r="X615" s="19"/>
      <c r="Y615" s="19"/>
      <c r="Z615" s="19"/>
      <c r="AA615" s="19">
        <v>0</v>
      </c>
      <c r="AB615" s="19"/>
      <c r="AC615" s="19" t="s">
        <v>392</v>
      </c>
      <c r="AD615" s="19"/>
      <c r="AE615" s="19"/>
      <c r="AF615" s="19"/>
    </row>
    <row r="616" spans="1:34">
      <c r="A616" s="19">
        <v>606</v>
      </c>
      <c r="B616" s="19" t="s">
        <v>1730</v>
      </c>
      <c r="C616" s="19" t="s">
        <v>2738</v>
      </c>
      <c r="D616" s="19" t="str">
        <f>HYPERLINK("http://www.henontech.com/fieldsafety/harzard/harzard_show.php?rid=14881&amp;url=harzardrecs.php","35t锅炉二楼东墙灯不亮，一操作工夜间巡检过程中，在下楼梯时，不慎左脚踩空摔倒，造成尾骨挫伤")</f>
        <v>35t锅炉二楼东墙灯不亮，一操作工夜间巡检过程中，在下楼梯时，不慎左脚踩空摔倒，造成尾骨挫伤</v>
      </c>
      <c r="E616" s="19" t="s">
        <v>2739</v>
      </c>
      <c r="F616" s="24" t="s">
        <v>387</v>
      </c>
      <c r="G616" s="21" t="s">
        <v>43</v>
      </c>
      <c r="H616" s="19" t="s">
        <v>44</v>
      </c>
      <c r="I616" s="19" t="s">
        <v>67</v>
      </c>
      <c r="J616" s="19" t="s">
        <v>46</v>
      </c>
      <c r="K616" s="19" t="s">
        <v>145</v>
      </c>
      <c r="L616" s="19" t="s">
        <v>48</v>
      </c>
      <c r="M616" s="19" t="s">
        <v>84</v>
      </c>
      <c r="N616" s="19" t="s">
        <v>2740</v>
      </c>
      <c r="O616" s="19"/>
      <c r="P616" s="19"/>
      <c r="Q616" s="19"/>
      <c r="R616" s="19" t="s">
        <v>2741</v>
      </c>
      <c r="S616" s="19" t="s">
        <v>2742</v>
      </c>
      <c r="T616" s="19" t="s">
        <v>54</v>
      </c>
      <c r="U616" s="19" t="s">
        <v>55</v>
      </c>
      <c r="V616" s="19" t="s">
        <v>56</v>
      </c>
      <c r="W616" s="19" t="s">
        <v>57</v>
      </c>
      <c r="X616" s="19"/>
      <c r="Y616" s="19"/>
      <c r="Z616" s="19"/>
      <c r="AA616" s="19">
        <v>0</v>
      </c>
      <c r="AB616" s="19"/>
      <c r="AC616" s="19" t="s">
        <v>392</v>
      </c>
      <c r="AD616" s="19"/>
      <c r="AE616" s="19"/>
      <c r="AF616" s="19"/>
    </row>
    <row r="617" spans="1:34" customHeight="1" ht="42">
      <c r="A617" s="19">
        <v>607</v>
      </c>
      <c r="B617" s="19" t="s">
        <v>1730</v>
      </c>
      <c r="C617" s="19" t="s">
        <v>380</v>
      </c>
      <c r="D617" s="19" t="str">
        <f>HYPERLINK("http://www.henontech.com/fieldsafety/harzard/harzard_show.php?rid=14889&amp;url=harzardrecs.php","煤十行灯灯线断裂，一旦发生事故，会引起着火。")</f>
        <v>煤十行灯灯线断裂，一旦发生事故，会引起着火。</v>
      </c>
      <c r="E617" s="19" t="s">
        <v>2743</v>
      </c>
      <c r="F617" s="20" t="s">
        <v>42</v>
      </c>
      <c r="G617" s="21" t="s">
        <v>43</v>
      </c>
      <c r="H617" s="19" t="s">
        <v>44</v>
      </c>
      <c r="I617" s="19" t="s">
        <v>67</v>
      </c>
      <c r="J617" s="19" t="s">
        <v>46</v>
      </c>
      <c r="K617" s="19" t="s">
        <v>145</v>
      </c>
      <c r="L617" s="19" t="s">
        <v>48</v>
      </c>
      <c r="M617" s="19" t="s">
        <v>285</v>
      </c>
      <c r="N617" s="19" t="s">
        <v>1396</v>
      </c>
      <c r="O617" s="19" t="s">
        <v>285</v>
      </c>
      <c r="P617" s="19" t="s">
        <v>617</v>
      </c>
      <c r="Q617" s="19" t="s">
        <v>1409</v>
      </c>
      <c r="R617" s="19" t="s">
        <v>2744</v>
      </c>
      <c r="S617" s="19"/>
      <c r="T617" s="19" t="s">
        <v>54</v>
      </c>
      <c r="U617" s="19" t="s">
        <v>192</v>
      </c>
      <c r="V617" s="19" t="s">
        <v>76</v>
      </c>
      <c r="W617" s="19" t="s">
        <v>77</v>
      </c>
      <c r="X617" s="19" t="s">
        <v>235</v>
      </c>
      <c r="Y617" s="19" t="s">
        <v>235</v>
      </c>
      <c r="Z617" s="19" t="s">
        <v>2745</v>
      </c>
      <c r="AA617" s="19">
        <v>2</v>
      </c>
      <c r="AB617" s="19">
        <v>2</v>
      </c>
      <c r="AC617" s="19" t="s">
        <v>60</v>
      </c>
      <c r="AD617" s="19" t="s">
        <v>617</v>
      </c>
      <c r="AE617" s="19" t="s">
        <v>1139</v>
      </c>
      <c r="AF617" s="19"/>
    </row>
    <row r="618" spans="1:34">
      <c r="A618" s="19">
        <v>608</v>
      </c>
      <c r="B618" s="19" t="s">
        <v>2508</v>
      </c>
      <c r="C618" s="19" t="s">
        <v>2115</v>
      </c>
      <c r="D618" s="19" t="str">
        <f>HYPERLINK("http://www.henontech.com/fieldsafety/harzard/harzard_show.php?rid=14907&amp;url=harzardrecs.php","一外协人员在切割铁板时，因未戴防护手套，造成手背烫伤，去医务室包扎处理，在家休息一天。")</f>
        <v>一外协人员在切割铁板时，因未戴防护手套，造成手背烫伤，去医务室包扎处理，在家休息一天。</v>
      </c>
      <c r="E618" s="19" t="s">
        <v>2746</v>
      </c>
      <c r="F618" s="24" t="s">
        <v>387</v>
      </c>
      <c r="G618" s="21" t="s">
        <v>43</v>
      </c>
      <c r="H618" s="19" t="s">
        <v>44</v>
      </c>
      <c r="I618" s="19" t="s">
        <v>83</v>
      </c>
      <c r="J618" s="19" t="s">
        <v>46</v>
      </c>
      <c r="K618" s="19"/>
      <c r="L618" s="19"/>
      <c r="M618" s="19" t="s">
        <v>84</v>
      </c>
      <c r="N618" s="19" t="s">
        <v>2747</v>
      </c>
      <c r="O618" s="19"/>
      <c r="P618" s="19"/>
      <c r="Q618" s="19"/>
      <c r="R618" s="19" t="s">
        <v>2748</v>
      </c>
      <c r="S618" s="19" t="s">
        <v>2749</v>
      </c>
      <c r="T618" s="19" t="s">
        <v>54</v>
      </c>
      <c r="U618" s="19" t="s">
        <v>55</v>
      </c>
      <c r="V618" s="19" t="s">
        <v>271</v>
      </c>
      <c r="W618" s="19" t="s">
        <v>122</v>
      </c>
      <c r="X618" s="19"/>
      <c r="Y618" s="19"/>
      <c r="Z618" s="19"/>
      <c r="AA618" s="19">
        <v>0</v>
      </c>
      <c r="AB618" s="19"/>
      <c r="AC618" s="19" t="s">
        <v>392</v>
      </c>
      <c r="AD618" s="19"/>
      <c r="AE618" s="19"/>
      <c r="AF618" s="19"/>
    </row>
    <row r="619" spans="1:34" customHeight="1" ht="42">
      <c r="A619" s="19">
        <v>609</v>
      </c>
      <c r="B619" s="19" t="s">
        <v>2508</v>
      </c>
      <c r="C619" s="19" t="s">
        <v>284</v>
      </c>
      <c r="D619" s="19" t="str">
        <f>HYPERLINK("http://www.henontech.com/fieldsafety/harzard/harzard_show.php?rid=14929&amp;url=harzardrecs.php","煤厂篦子处钢筋翘起 夜班巡查人员经过时 被绊倒扭伤右脚脚踝休息一会不影响工作")</f>
        <v>煤厂篦子处钢筋翘起 夜班巡查人员经过时 被绊倒扭伤右脚脚踝休息一会不影响工作</v>
      </c>
      <c r="E619" s="19" t="s">
        <v>2750</v>
      </c>
      <c r="F619" s="20" t="s">
        <v>42</v>
      </c>
      <c r="G619" s="21" t="s">
        <v>43</v>
      </c>
      <c r="H619" s="19" t="s">
        <v>44</v>
      </c>
      <c r="I619" s="19" t="s">
        <v>45</v>
      </c>
      <c r="J619" s="19"/>
      <c r="K619" s="19" t="s">
        <v>69</v>
      </c>
      <c r="L619" s="19" t="s">
        <v>48</v>
      </c>
      <c r="M619" s="19" t="s">
        <v>285</v>
      </c>
      <c r="N619" s="19" t="s">
        <v>2751</v>
      </c>
      <c r="O619" s="19" t="s">
        <v>285</v>
      </c>
      <c r="P619" s="19" t="s">
        <v>642</v>
      </c>
      <c r="Q619" s="19" t="s">
        <v>1409</v>
      </c>
      <c r="R619" s="19" t="s">
        <v>2752</v>
      </c>
      <c r="S619" s="19"/>
      <c r="T619" s="19" t="s">
        <v>54</v>
      </c>
      <c r="U619" s="19" t="s">
        <v>75</v>
      </c>
      <c r="V619" s="19" t="s">
        <v>101</v>
      </c>
      <c r="W619" s="19" t="s">
        <v>77</v>
      </c>
      <c r="X619" s="19"/>
      <c r="Y619" s="19"/>
      <c r="Z619" s="19" t="s">
        <v>2323</v>
      </c>
      <c r="AA619" s="19">
        <v>2</v>
      </c>
      <c r="AB619" s="19">
        <v>2</v>
      </c>
      <c r="AC619" s="19" t="s">
        <v>60</v>
      </c>
      <c r="AD619" s="19" t="s">
        <v>642</v>
      </c>
      <c r="AE619" s="19" t="s">
        <v>1139</v>
      </c>
      <c r="AF619" s="19"/>
    </row>
    <row r="620" spans="1:34" customHeight="1" ht="42">
      <c r="A620" s="19">
        <v>610</v>
      </c>
      <c r="B620" s="19" t="s">
        <v>2508</v>
      </c>
      <c r="C620" s="19" t="s">
        <v>407</v>
      </c>
      <c r="D620" s="19" t="str">
        <f>HYPERLINK("http://www.henontech.com/fieldsafety/harzard/harzard_show.php?rid=14930&amp;url=harzardrecs.php","东二铁梯子扶手支撑腐蚀 操作工上下梯子用手扶 扶手时由于支撑腐蚀 承受不住重量歪倒 造成人员摔倒 右前臂骨折送医院治疗住院一个月在家修养92天")</f>
        <v>东二铁梯子扶手支撑腐蚀 操作工上下梯子用手扶 扶手时由于支撑腐蚀 承受不住重量歪倒 造成人员摔倒 右前臂骨折送医院治疗住院一个月在家修养92天</v>
      </c>
      <c r="E620" s="19" t="s">
        <v>2753</v>
      </c>
      <c r="F620" s="20" t="s">
        <v>42</v>
      </c>
      <c r="G620" s="21" t="s">
        <v>43</v>
      </c>
      <c r="H620" s="19" t="s">
        <v>44</v>
      </c>
      <c r="I620" s="19" t="s">
        <v>45</v>
      </c>
      <c r="J620" s="19"/>
      <c r="K620" s="19" t="s">
        <v>166</v>
      </c>
      <c r="L620" s="19" t="s">
        <v>48</v>
      </c>
      <c r="M620" s="19" t="s">
        <v>285</v>
      </c>
      <c r="N620" s="19" t="s">
        <v>286</v>
      </c>
      <c r="O620" s="19" t="s">
        <v>285</v>
      </c>
      <c r="P620" s="19" t="s">
        <v>642</v>
      </c>
      <c r="Q620" s="19" t="s">
        <v>1409</v>
      </c>
      <c r="R620" s="19" t="s">
        <v>2327</v>
      </c>
      <c r="S620" s="19"/>
      <c r="T620" s="19" t="s">
        <v>54</v>
      </c>
      <c r="U620" s="19" t="s">
        <v>55</v>
      </c>
      <c r="V620" s="19" t="s">
        <v>101</v>
      </c>
      <c r="W620" s="19" t="s">
        <v>138</v>
      </c>
      <c r="X620" s="19"/>
      <c r="Y620" s="19"/>
      <c r="Z620" s="19" t="s">
        <v>2316</v>
      </c>
      <c r="AA620" s="19">
        <v>2</v>
      </c>
      <c r="AB620" s="19">
        <v>2</v>
      </c>
      <c r="AC620" s="19" t="s">
        <v>60</v>
      </c>
      <c r="AD620" s="19" t="s">
        <v>642</v>
      </c>
      <c r="AE620" s="19" t="s">
        <v>1139</v>
      </c>
      <c r="AF620" s="19"/>
    </row>
    <row r="621" spans="1:34">
      <c r="A621" s="19">
        <v>611</v>
      </c>
      <c r="B621" s="19" t="s">
        <v>2508</v>
      </c>
      <c r="C621" s="19" t="s">
        <v>407</v>
      </c>
      <c r="D621" s="19" t="str">
        <f>HYPERLINK("http://www.henontech.com/fieldsafety/harzard/harzard_show.php?rid=14931&amp;url=harzardrecs.php","东一照明灯损坏 操作工巡查时 看不清脚下 不慎被绊倒 扭伤右脚脚踝 休息一会不影响工作")</f>
        <v>东一照明灯损坏 操作工巡查时 看不清脚下 不慎被绊倒 扭伤右脚脚踝 休息一会不影响工作</v>
      </c>
      <c r="E621" s="19" t="s">
        <v>2754</v>
      </c>
      <c r="F621" s="20" t="s">
        <v>42</v>
      </c>
      <c r="G621" s="21" t="s">
        <v>43</v>
      </c>
      <c r="H621" s="19" t="s">
        <v>44</v>
      </c>
      <c r="I621" s="19" t="s">
        <v>45</v>
      </c>
      <c r="J621" s="19"/>
      <c r="K621" s="19" t="s">
        <v>145</v>
      </c>
      <c r="L621" s="19" t="s">
        <v>48</v>
      </c>
      <c r="M621" s="19" t="s">
        <v>285</v>
      </c>
      <c r="N621" s="19" t="s">
        <v>2755</v>
      </c>
      <c r="O621" s="19" t="s">
        <v>285</v>
      </c>
      <c r="P621" s="19" t="s">
        <v>642</v>
      </c>
      <c r="Q621" s="19" t="s">
        <v>1409</v>
      </c>
      <c r="R621" s="19" t="s">
        <v>2322</v>
      </c>
      <c r="S621" s="19"/>
      <c r="T621" s="19" t="s">
        <v>54</v>
      </c>
      <c r="U621" s="19" t="s">
        <v>75</v>
      </c>
      <c r="V621" s="19" t="s">
        <v>101</v>
      </c>
      <c r="W621" s="19" t="s">
        <v>77</v>
      </c>
      <c r="X621" s="19"/>
      <c r="Y621" s="19"/>
      <c r="Z621" s="19" t="s">
        <v>2756</v>
      </c>
      <c r="AA621" s="19">
        <v>1</v>
      </c>
      <c r="AB621" s="19">
        <v>1</v>
      </c>
      <c r="AC621" s="19" t="s">
        <v>60</v>
      </c>
      <c r="AD621" s="19" t="s">
        <v>642</v>
      </c>
      <c r="AE621" s="19" t="s">
        <v>1139</v>
      </c>
      <c r="AF621" s="19"/>
    </row>
    <row r="622" spans="1:34" customHeight="1" ht="42">
      <c r="A622" s="19">
        <v>612</v>
      </c>
      <c r="B622" s="19" t="s">
        <v>2508</v>
      </c>
      <c r="C622" s="19" t="s">
        <v>380</v>
      </c>
      <c r="D622" s="19" t="str">
        <f>HYPERLINK("http://www.henontech.com/fieldsafety/harzard/harzard_show.php?rid=14933&amp;url=harzardrecs.php","煤六护栏支撑腐蚀开焊 操作工巡查不慎摔倒时起不到防护作用 右手臂被卷入皮带中造成右前臂骨折 送医院治疗住院一个月在家修养92天")</f>
        <v>煤六护栏支撑腐蚀开焊 操作工巡查不慎摔倒时起不到防护作用 右手臂被卷入皮带中造成右前臂骨折 送医院治疗住院一个月在家修养92天</v>
      </c>
      <c r="E622" s="19" t="s">
        <v>2753</v>
      </c>
      <c r="F622" s="20" t="s">
        <v>42</v>
      </c>
      <c r="G622" s="21" t="s">
        <v>43</v>
      </c>
      <c r="H622" s="19" t="s">
        <v>44</v>
      </c>
      <c r="I622" s="19" t="s">
        <v>45</v>
      </c>
      <c r="J622" s="19" t="s">
        <v>46</v>
      </c>
      <c r="K622" s="19" t="s">
        <v>47</v>
      </c>
      <c r="L622" s="19" t="s">
        <v>48</v>
      </c>
      <c r="M622" s="19" t="s">
        <v>285</v>
      </c>
      <c r="N622" s="19" t="s">
        <v>2757</v>
      </c>
      <c r="O622" s="19" t="s">
        <v>285</v>
      </c>
      <c r="P622" s="19" t="s">
        <v>642</v>
      </c>
      <c r="Q622" s="19" t="s">
        <v>1409</v>
      </c>
      <c r="R622" s="19" t="s">
        <v>2239</v>
      </c>
      <c r="S622" s="19"/>
      <c r="T622" s="19" t="s">
        <v>54</v>
      </c>
      <c r="U622" s="19" t="s">
        <v>55</v>
      </c>
      <c r="V622" s="19" t="s">
        <v>101</v>
      </c>
      <c r="W622" s="19" t="s">
        <v>138</v>
      </c>
      <c r="X622" s="19"/>
      <c r="Y622" s="19"/>
      <c r="Z622" s="19" t="s">
        <v>2330</v>
      </c>
      <c r="AA622" s="19">
        <v>2</v>
      </c>
      <c r="AB622" s="19">
        <v>2</v>
      </c>
      <c r="AC622" s="19" t="s">
        <v>60</v>
      </c>
      <c r="AD622" s="19" t="s">
        <v>642</v>
      </c>
      <c r="AE622" s="19" t="s">
        <v>1139</v>
      </c>
      <c r="AF622" s="19"/>
    </row>
    <row r="623" spans="1:34" customHeight="1" ht="42">
      <c r="A623" s="19">
        <v>613</v>
      </c>
      <c r="B623" s="19" t="s">
        <v>2508</v>
      </c>
      <c r="C623" s="19" t="s">
        <v>407</v>
      </c>
      <c r="D623" s="19" t="str">
        <f>HYPERLINK("http://www.henontech.com/fieldsafety/harzard/harzard_show.php?rid=14934&amp;url=harzardrecs.php","东三楼道照明灯损坏 操作工上下楼梯时 看不清脚下不慎摔倒造成右脚脚踝扭伤休息一会不影响工作")</f>
        <v>东三楼道照明灯损坏 操作工上下楼梯时 看不清脚下不慎摔倒造成右脚脚踝扭伤休息一会不影响工作</v>
      </c>
      <c r="E623" s="19" t="s">
        <v>2317</v>
      </c>
      <c r="F623" s="20" t="s">
        <v>42</v>
      </c>
      <c r="G623" s="21" t="s">
        <v>43</v>
      </c>
      <c r="H623" s="19" t="s">
        <v>44</v>
      </c>
      <c r="I623" s="19" t="s">
        <v>45</v>
      </c>
      <c r="J623" s="19"/>
      <c r="K623" s="19"/>
      <c r="L623" s="19" t="s">
        <v>48</v>
      </c>
      <c r="M623" s="19" t="s">
        <v>285</v>
      </c>
      <c r="N623" s="19" t="s">
        <v>642</v>
      </c>
      <c r="O623" s="19" t="s">
        <v>285</v>
      </c>
      <c r="P623" s="19" t="s">
        <v>642</v>
      </c>
      <c r="Q623" s="19" t="s">
        <v>1409</v>
      </c>
      <c r="R623" s="19" t="s">
        <v>2758</v>
      </c>
      <c r="S623" s="19"/>
      <c r="T623" s="19" t="s">
        <v>54</v>
      </c>
      <c r="U623" s="19" t="s">
        <v>75</v>
      </c>
      <c r="V623" s="19" t="s">
        <v>101</v>
      </c>
      <c r="W623" s="19" t="s">
        <v>77</v>
      </c>
      <c r="X623" s="19"/>
      <c r="Y623" s="19"/>
      <c r="Z623" s="19" t="s">
        <v>2319</v>
      </c>
      <c r="AA623" s="19">
        <v>2</v>
      </c>
      <c r="AB623" s="19">
        <v>2</v>
      </c>
      <c r="AC623" s="19" t="s">
        <v>60</v>
      </c>
      <c r="AD623" s="19" t="s">
        <v>642</v>
      </c>
      <c r="AE623" s="19" t="s">
        <v>1139</v>
      </c>
      <c r="AF623" s="19"/>
    </row>
    <row r="624" spans="1:34" customHeight="1" ht="42">
      <c r="A624" s="19">
        <v>614</v>
      </c>
      <c r="B624" s="19" t="s">
        <v>2508</v>
      </c>
      <c r="C624" s="19" t="s">
        <v>2236</v>
      </c>
      <c r="D624" s="19" t="str">
        <f>HYPERLINK("http://www.henontech.com/fieldsafety/harzard/harzard_show.php?rid=14963&amp;url=harzardrecs.php","1618破碎机加湿罐防护栏开焊，一旦操作工在打水时，容易造成轻微划伤，造成人员伤害")</f>
        <v>1618破碎机加湿罐防护栏开焊，一旦操作工在打水时，容易造成轻微划伤，造成人员伤害</v>
      </c>
      <c r="E624" s="19" t="s">
        <v>2390</v>
      </c>
      <c r="F624" s="20" t="s">
        <v>42</v>
      </c>
      <c r="G624" s="21" t="s">
        <v>43</v>
      </c>
      <c r="H624" s="19" t="s">
        <v>44</v>
      </c>
      <c r="I624" s="19" t="s">
        <v>67</v>
      </c>
      <c r="J624" s="19" t="s">
        <v>68</v>
      </c>
      <c r="K624" s="19" t="s">
        <v>69</v>
      </c>
      <c r="L624" s="19" t="s">
        <v>48</v>
      </c>
      <c r="M624" s="19" t="s">
        <v>285</v>
      </c>
      <c r="N624" s="19" t="s">
        <v>2759</v>
      </c>
      <c r="O624" s="19" t="s">
        <v>285</v>
      </c>
      <c r="P624" s="19" t="s">
        <v>617</v>
      </c>
      <c r="Q624" s="19" t="s">
        <v>1322</v>
      </c>
      <c r="R624" s="19" t="s">
        <v>2760</v>
      </c>
      <c r="S624" s="19"/>
      <c r="T624" s="19" t="s">
        <v>54</v>
      </c>
      <c r="U624" s="19" t="s">
        <v>75</v>
      </c>
      <c r="V624" s="19" t="s">
        <v>101</v>
      </c>
      <c r="W624" s="19" t="s">
        <v>77</v>
      </c>
      <c r="X624" s="19" t="s">
        <v>235</v>
      </c>
      <c r="Y624" s="19" t="s">
        <v>235</v>
      </c>
      <c r="Z624" s="19" t="s">
        <v>2761</v>
      </c>
      <c r="AA624" s="19">
        <v>2</v>
      </c>
      <c r="AB624" s="19">
        <v>2</v>
      </c>
      <c r="AC624" s="19" t="s">
        <v>60</v>
      </c>
      <c r="AD624" s="19" t="s">
        <v>617</v>
      </c>
      <c r="AE624" s="19" t="s">
        <v>1139</v>
      </c>
      <c r="AF624" s="19"/>
    </row>
    <row r="625" spans="1:34" customHeight="1" ht="42">
      <c r="A625" s="19">
        <v>615</v>
      </c>
      <c r="B625" s="19" t="s">
        <v>2508</v>
      </c>
      <c r="C625" s="19" t="s">
        <v>2236</v>
      </c>
      <c r="D625" s="19" t="str">
        <f>HYPERLINK("http://www.henontech.com/fieldsafety/harzard/harzard_show.php?rid=14964&amp;url=harzardrecs.php","煤九行吊使用完后，隔离护板未及时复位，人员在操作时，一旦不慎坠落，将造成右腿小腿骨折，住院治疗15天，在家修养2个月。")</f>
        <v>煤九行吊使用完后，隔离护板未及时复位，人员在操作时，一旦不慎坠落，将造成右腿小腿骨折，住院治疗15天，在家修养2个月。</v>
      </c>
      <c r="E625" s="19" t="s">
        <v>2762</v>
      </c>
      <c r="F625" s="20" t="s">
        <v>42</v>
      </c>
      <c r="G625" s="22" t="s">
        <v>66</v>
      </c>
      <c r="H625" s="19" t="s">
        <v>44</v>
      </c>
      <c r="I625" s="19" t="s">
        <v>388</v>
      </c>
      <c r="J625" s="19"/>
      <c r="K625" s="19"/>
      <c r="L625" s="19"/>
      <c r="M625" s="19" t="s">
        <v>285</v>
      </c>
      <c r="N625" s="19" t="s">
        <v>2049</v>
      </c>
      <c r="O625" s="19" t="s">
        <v>285</v>
      </c>
      <c r="P625" s="19" t="s">
        <v>617</v>
      </c>
      <c r="Q625" s="19" t="s">
        <v>1409</v>
      </c>
      <c r="R625" s="19" t="s">
        <v>2702</v>
      </c>
      <c r="S625" s="19"/>
      <c r="T625" s="19" t="s">
        <v>54</v>
      </c>
      <c r="U625" s="19" t="s">
        <v>55</v>
      </c>
      <c r="V625" s="19" t="s">
        <v>271</v>
      </c>
      <c r="W625" s="19" t="s">
        <v>122</v>
      </c>
      <c r="X625" s="19"/>
      <c r="Y625" s="19"/>
      <c r="Z625" s="19" t="s">
        <v>2763</v>
      </c>
      <c r="AA625" s="19">
        <v>2</v>
      </c>
      <c r="AB625" s="19">
        <v>2</v>
      </c>
      <c r="AC625" s="19" t="s">
        <v>60</v>
      </c>
      <c r="AD625" s="19" t="s">
        <v>617</v>
      </c>
      <c r="AE625" s="19" t="s">
        <v>1139</v>
      </c>
      <c r="AF625" s="19"/>
    </row>
    <row r="626" spans="1:34">
      <c r="A626" s="19">
        <v>616</v>
      </c>
      <c r="B626" s="19" t="s">
        <v>2508</v>
      </c>
      <c r="C626" s="19" t="s">
        <v>1627</v>
      </c>
      <c r="D626" s="19" t="str">
        <f>HYPERLINK("http://www.henontech.com/fieldsafety/harzard/harzard_show.php?rid=14970&amp;url=harzardrecs.php","焦油罐爬梯护笼开焊，操作人员巡检时不慎跌落，造成左脚踝扭伤，在家修养10天。")</f>
        <v>焦油罐爬梯护笼开焊，操作人员巡检时不慎跌落，造成左脚踝扭伤，在家修养10天。</v>
      </c>
      <c r="E626" s="19" t="s">
        <v>2764</v>
      </c>
      <c r="F626" s="20" t="s">
        <v>42</v>
      </c>
      <c r="G626" s="21" t="s">
        <v>43</v>
      </c>
      <c r="H626" s="19" t="s">
        <v>44</v>
      </c>
      <c r="I626" s="19" t="s">
        <v>67</v>
      </c>
      <c r="J626" s="19" t="s">
        <v>46</v>
      </c>
      <c r="K626" s="19" t="s">
        <v>69</v>
      </c>
      <c r="L626" s="19" t="s">
        <v>48</v>
      </c>
      <c r="M626" s="19" t="s">
        <v>70</v>
      </c>
      <c r="N626" s="19" t="s">
        <v>1927</v>
      </c>
      <c r="O626" s="19" t="s">
        <v>70</v>
      </c>
      <c r="P626" s="19" t="s">
        <v>72</v>
      </c>
      <c r="Q626" s="19" t="s">
        <v>1322</v>
      </c>
      <c r="R626" s="19" t="s">
        <v>1392</v>
      </c>
      <c r="S626" s="19"/>
      <c r="T626" s="19" t="s">
        <v>54</v>
      </c>
      <c r="U626" s="19" t="s">
        <v>55</v>
      </c>
      <c r="V626" s="19" t="s">
        <v>101</v>
      </c>
      <c r="W626" s="19" t="s">
        <v>138</v>
      </c>
      <c r="X626" s="19"/>
      <c r="Y626" s="19"/>
      <c r="Z626" s="19" t="s">
        <v>2765</v>
      </c>
      <c r="AA626" s="19">
        <v>1</v>
      </c>
      <c r="AB626" s="19">
        <v>1</v>
      </c>
      <c r="AC626" s="19" t="s">
        <v>60</v>
      </c>
      <c r="AD626" s="19" t="s">
        <v>72</v>
      </c>
      <c r="AE626" s="19" t="s">
        <v>1074</v>
      </c>
      <c r="AF626" s="19"/>
    </row>
    <row r="627" spans="1:34">
      <c r="A627" s="19">
        <v>617</v>
      </c>
      <c r="B627" s="19" t="s">
        <v>2508</v>
      </c>
      <c r="C627" s="19" t="s">
        <v>2140</v>
      </c>
      <c r="D627" s="19" t="str">
        <f>HYPERLINK("http://www.henontech.com/fieldsafety/harzard/harzard_show.php?rid=14978&amp;url=harzardrecs.php","维修汽轮机外协人员安全帽未按要求挂安全帽绳，如果一名操作人员在拆卸螺栓过程中脚底打滑从汽轮机摔到地面头部着地，安全帽未起作用，造成一名操作人员轻微脑震荡，在家休息一周后正常工作，")</f>
        <v>维修汽轮机外协人员安全帽未按要求挂安全帽绳，如果一名操作人员在拆卸螺栓过程中脚底打滑从汽轮机摔到地面头部着地，安全帽未起作用，造成一名操作人员轻微脑震荡，在家休息一周后正常工作，</v>
      </c>
      <c r="E627" s="19" t="s">
        <v>2766</v>
      </c>
      <c r="F627" s="24" t="s">
        <v>387</v>
      </c>
      <c r="G627" s="21" t="s">
        <v>43</v>
      </c>
      <c r="H627" s="19" t="s">
        <v>44</v>
      </c>
      <c r="I627" s="19" t="s">
        <v>45</v>
      </c>
      <c r="J627" s="19" t="s">
        <v>401</v>
      </c>
      <c r="K627" s="19" t="s">
        <v>145</v>
      </c>
      <c r="L627" s="19"/>
      <c r="M627" s="19" t="s">
        <v>84</v>
      </c>
      <c r="N627" s="19" t="s">
        <v>1049</v>
      </c>
      <c r="O627" s="19"/>
      <c r="P627" s="19"/>
      <c r="Q627" s="19"/>
      <c r="R627" s="19" t="s">
        <v>2767</v>
      </c>
      <c r="S627" s="19" t="s">
        <v>2768</v>
      </c>
      <c r="T627" s="19" t="s">
        <v>54</v>
      </c>
      <c r="U627" s="19" t="s">
        <v>55</v>
      </c>
      <c r="V627" s="19" t="s">
        <v>101</v>
      </c>
      <c r="W627" s="19" t="s">
        <v>138</v>
      </c>
      <c r="X627" s="19"/>
      <c r="Y627" s="19"/>
      <c r="Z627" s="19"/>
      <c r="AA627" s="19">
        <v>0</v>
      </c>
      <c r="AB627" s="19"/>
      <c r="AC627" s="19" t="s">
        <v>392</v>
      </c>
      <c r="AD627" s="19"/>
      <c r="AE627" s="19"/>
      <c r="AF627" s="19"/>
    </row>
    <row r="628" spans="1:34">
      <c r="A628" s="19">
        <v>618</v>
      </c>
      <c r="B628" s="19" t="s">
        <v>2508</v>
      </c>
      <c r="C628" s="19" t="s">
        <v>2636</v>
      </c>
      <c r="D628" s="19" t="str">
        <f>HYPERLINK("http://www.henontech.com/fieldsafety/harzard/harzard_show.php?rid=14995&amp;url=harzardrecs.php","南冷凝低位槽自吸泵由于长时间运行电机轴承发热损坏，造成电机抱死泵子停止，焦油氨水从低位槽溢出的环保事故。")</f>
        <v>南冷凝低位槽自吸泵由于长时间运行电机轴承发热损坏，造成电机抱死泵子停止，焦油氨水从低位槽溢出的环保事故。</v>
      </c>
      <c r="E628" s="19" t="s">
        <v>2769</v>
      </c>
      <c r="F628" s="20" t="s">
        <v>42</v>
      </c>
      <c r="G628" s="21" t="s">
        <v>43</v>
      </c>
      <c r="H628" s="19" t="s">
        <v>44</v>
      </c>
      <c r="I628" s="19" t="s">
        <v>67</v>
      </c>
      <c r="J628" s="19" t="s">
        <v>46</v>
      </c>
      <c r="K628" s="19" t="s">
        <v>69</v>
      </c>
      <c r="L628" s="19" t="s">
        <v>48</v>
      </c>
      <c r="M628" s="19" t="s">
        <v>70</v>
      </c>
      <c r="N628" s="19" t="s">
        <v>454</v>
      </c>
      <c r="O628" s="19" t="s">
        <v>70</v>
      </c>
      <c r="P628" s="19" t="s">
        <v>72</v>
      </c>
      <c r="Q628" s="19" t="s">
        <v>1322</v>
      </c>
      <c r="R628" s="19" t="s">
        <v>1063</v>
      </c>
      <c r="S628" s="19"/>
      <c r="T628" s="19" t="s">
        <v>270</v>
      </c>
      <c r="U628" s="19" t="s">
        <v>192</v>
      </c>
      <c r="V628" s="19" t="s">
        <v>271</v>
      </c>
      <c r="W628" s="19" t="s">
        <v>77</v>
      </c>
      <c r="X628" s="19"/>
      <c r="Y628" s="19"/>
      <c r="Z628" s="19" t="s">
        <v>2770</v>
      </c>
      <c r="AA628" s="19">
        <v>1</v>
      </c>
      <c r="AB628" s="19">
        <v>1</v>
      </c>
      <c r="AC628" s="19" t="s">
        <v>60</v>
      </c>
      <c r="AD628" s="19" t="s">
        <v>72</v>
      </c>
      <c r="AE628" s="19" t="s">
        <v>1202</v>
      </c>
      <c r="AF628" s="19"/>
    </row>
    <row r="629" spans="1:34">
      <c r="A629" s="19">
        <v>619</v>
      </c>
      <c r="B629" s="19" t="s">
        <v>2508</v>
      </c>
      <c r="C629" s="19" t="s">
        <v>824</v>
      </c>
      <c r="D629" s="19" t="str">
        <f>HYPERLINK("http://www.henontech.com/fieldsafety/harzard/harzard_show.php?rid=14997&amp;url=harzardrecs.php","干熄炉五层103#灭火器铅封缺失，保险销起不到保护作用，造成灭火器失效，一旦发生着火时取用灭火器灭火时未检查核实，无法在最佳时机扑灭初起火灾，造成火势扩大将导入装置烧毁")</f>
        <v>干熄炉五层103#灭火器铅封缺失，保险销起不到保护作用，造成灭火器失效，一旦发生着火时取用灭火器灭火时未检查核实，无法在最佳时机扑灭初起火灾，造成火势扩大将导入装置烧毁</v>
      </c>
      <c r="E629" s="19" t="s">
        <v>2771</v>
      </c>
      <c r="F629" s="20" t="s">
        <v>42</v>
      </c>
      <c r="G629" s="21" t="s">
        <v>43</v>
      </c>
      <c r="H629" s="19" t="s">
        <v>44</v>
      </c>
      <c r="I629" s="19"/>
      <c r="J629" s="19" t="s">
        <v>46</v>
      </c>
      <c r="K629" s="19"/>
      <c r="L629" s="19" t="s">
        <v>48</v>
      </c>
      <c r="M629" s="19" t="s">
        <v>117</v>
      </c>
      <c r="N629" s="19" t="s">
        <v>119</v>
      </c>
      <c r="O629" s="19" t="s">
        <v>117</v>
      </c>
      <c r="P629" s="19" t="s">
        <v>119</v>
      </c>
      <c r="Q629" s="19" t="s">
        <v>1409</v>
      </c>
      <c r="R629" s="19" t="s">
        <v>2012</v>
      </c>
      <c r="S629" s="19" t="s">
        <v>2772</v>
      </c>
      <c r="T629" s="19" t="s">
        <v>100</v>
      </c>
      <c r="U629" s="19" t="s">
        <v>75</v>
      </c>
      <c r="V629" s="19" t="s">
        <v>56</v>
      </c>
      <c r="W629" s="19" t="s">
        <v>138</v>
      </c>
      <c r="X629" s="19" t="s">
        <v>123</v>
      </c>
      <c r="Y629" s="19" t="s">
        <v>123</v>
      </c>
      <c r="Z629" s="19" t="s">
        <v>2773</v>
      </c>
      <c r="AA629" s="19">
        <v>1</v>
      </c>
      <c r="AB629" s="19">
        <v>1</v>
      </c>
      <c r="AC629" s="19" t="s">
        <v>60</v>
      </c>
      <c r="AD629" s="19" t="s">
        <v>119</v>
      </c>
      <c r="AE629" s="19" t="s">
        <v>1322</v>
      </c>
      <c r="AF629" s="19" t="s">
        <v>2774</v>
      </c>
    </row>
    <row r="630" spans="1:34">
      <c r="A630" s="19">
        <v>620</v>
      </c>
      <c r="B630" s="19" t="s">
        <v>2508</v>
      </c>
      <c r="C630" s="19" t="s">
        <v>2462</v>
      </c>
      <c r="D630" s="19" t="str">
        <f>HYPERLINK("http://www.henontech.com/fieldsafety/harzard/harzard_show.php?rid=15042&amp;url=harzardrecs.php","天车操作室有一块防护玻璃破损并未加防护措施，一名天车操作工在天车操作时不小心从破损玻璃处坠落。")</f>
        <v>天车操作室有一块防护玻璃破损并未加防护措施，一名天车操作工在天车操作时不小心从破损玻璃处坠落。</v>
      </c>
      <c r="E630" s="19" t="s">
        <v>2775</v>
      </c>
      <c r="F630" s="24" t="s">
        <v>387</v>
      </c>
      <c r="G630" s="21" t="s">
        <v>43</v>
      </c>
      <c r="H630" s="19" t="s">
        <v>44</v>
      </c>
      <c r="I630" s="19" t="s">
        <v>67</v>
      </c>
      <c r="J630" s="19" t="s">
        <v>68</v>
      </c>
      <c r="K630" s="19" t="s">
        <v>47</v>
      </c>
      <c r="L630" s="19" t="s">
        <v>48</v>
      </c>
      <c r="M630" s="19" t="s">
        <v>84</v>
      </c>
      <c r="N630" s="19" t="s">
        <v>2776</v>
      </c>
      <c r="O630" s="19"/>
      <c r="P630" s="19"/>
      <c r="Q630" s="19"/>
      <c r="R630" s="19" t="s">
        <v>2777</v>
      </c>
      <c r="S630" s="19" t="s">
        <v>2778</v>
      </c>
      <c r="T630" s="19" t="s">
        <v>54</v>
      </c>
      <c r="U630" s="19" t="s">
        <v>121</v>
      </c>
      <c r="V630" s="19" t="s">
        <v>56</v>
      </c>
      <c r="W630" s="19" t="s">
        <v>122</v>
      </c>
      <c r="X630" s="19"/>
      <c r="Y630" s="19"/>
      <c r="Z630" s="19"/>
      <c r="AA630" s="19">
        <v>0</v>
      </c>
      <c r="AB630" s="19"/>
      <c r="AC630" s="19" t="s">
        <v>392</v>
      </c>
      <c r="AD630" s="19"/>
      <c r="AE630" s="19"/>
      <c r="AF630" s="19"/>
    </row>
    <row r="631" spans="1:34">
      <c r="A631" s="19">
        <v>621</v>
      </c>
      <c r="B631" s="19" t="s">
        <v>2508</v>
      </c>
      <c r="C631" s="19" t="s">
        <v>380</v>
      </c>
      <c r="D631" s="19" t="str">
        <f>HYPERLINK("http://www.henontech.com/fieldsafety/harzard/harzard_show.php?rid=15045&amp;url=harzardrecs.php","1618配电箱上有杂物，一旦线路短路引燃配电箱上杂物，将会引起火灾")</f>
        <v>1618配电箱上有杂物，一旦线路短路引燃配电箱上杂物，将会引起火灾</v>
      </c>
      <c r="E631" s="19" t="s">
        <v>2779</v>
      </c>
      <c r="F631" s="20" t="s">
        <v>42</v>
      </c>
      <c r="G631" s="22" t="s">
        <v>66</v>
      </c>
      <c r="H631" s="19" t="s">
        <v>44</v>
      </c>
      <c r="I631" s="19" t="s">
        <v>45</v>
      </c>
      <c r="J631" s="19"/>
      <c r="K631" s="19"/>
      <c r="L631" s="19"/>
      <c r="M631" s="19" t="s">
        <v>285</v>
      </c>
      <c r="N631" s="19" t="s">
        <v>415</v>
      </c>
      <c r="O631" s="19" t="s">
        <v>285</v>
      </c>
      <c r="P631" s="19" t="s">
        <v>410</v>
      </c>
      <c r="Q631" s="19" t="s">
        <v>1683</v>
      </c>
      <c r="R631" s="19">
        <v>1618</v>
      </c>
      <c r="S631" s="19"/>
      <c r="T631" s="19" t="s">
        <v>100</v>
      </c>
      <c r="U631" s="19" t="s">
        <v>192</v>
      </c>
      <c r="V631" s="19" t="s">
        <v>56</v>
      </c>
      <c r="W631" s="19" t="s">
        <v>77</v>
      </c>
      <c r="X631" s="19"/>
      <c r="Y631" s="19"/>
      <c r="Z631" s="19" t="s">
        <v>2780</v>
      </c>
      <c r="AA631" s="19">
        <v>1</v>
      </c>
      <c r="AB631" s="19">
        <v>1</v>
      </c>
      <c r="AC631" s="19" t="s">
        <v>60</v>
      </c>
      <c r="AD631" s="19" t="s">
        <v>410</v>
      </c>
      <c r="AE631" s="19" t="s">
        <v>2508</v>
      </c>
      <c r="AF631" s="19"/>
    </row>
    <row r="632" spans="1:34">
      <c r="A632" s="19">
        <v>622</v>
      </c>
      <c r="B632" s="19" t="s">
        <v>2781</v>
      </c>
      <c r="C632" s="19" t="s">
        <v>284</v>
      </c>
      <c r="D632" s="19" t="str">
        <f>HYPERLINK("http://www.henontech.com/fieldsafety/harzard/harzard_show.php?rid=15115&amp;url=harzardrecs.php","西一水沟篦子未在有效位置，职工途经时，一旦不慎掉入水沟，会造成小腿轻微擦伤，到医务室敷药后继续上岗作业。")</f>
        <v>西一水沟篦子未在有效位置，职工途经时，一旦不慎掉入水沟，会造成小腿轻微擦伤，到医务室敷药后继续上岗作业。</v>
      </c>
      <c r="E632" s="19" t="s">
        <v>2782</v>
      </c>
      <c r="F632" s="20" t="s">
        <v>42</v>
      </c>
      <c r="G632" s="21" t="s">
        <v>43</v>
      </c>
      <c r="H632" s="19" t="s">
        <v>44</v>
      </c>
      <c r="I632" s="19" t="s">
        <v>45</v>
      </c>
      <c r="J632" s="19" t="s">
        <v>46</v>
      </c>
      <c r="K632" s="19" t="s">
        <v>145</v>
      </c>
      <c r="L632" s="19" t="s">
        <v>573</v>
      </c>
      <c r="M632" s="19" t="s">
        <v>285</v>
      </c>
      <c r="N632" s="19" t="s">
        <v>2783</v>
      </c>
      <c r="O632" s="19" t="s">
        <v>285</v>
      </c>
      <c r="P632" s="19" t="s">
        <v>419</v>
      </c>
      <c r="Q632" s="19" t="s">
        <v>1139</v>
      </c>
      <c r="R632" s="19" t="s">
        <v>2576</v>
      </c>
      <c r="S632" s="19"/>
      <c r="T632" s="19" t="s">
        <v>54</v>
      </c>
      <c r="U632" s="19" t="s">
        <v>75</v>
      </c>
      <c r="V632" s="19" t="s">
        <v>56</v>
      </c>
      <c r="W632" s="19" t="s">
        <v>138</v>
      </c>
      <c r="X632" s="19"/>
      <c r="Y632" s="19"/>
      <c r="Z632" s="19" t="s">
        <v>2784</v>
      </c>
      <c r="AA632" s="19">
        <v>1</v>
      </c>
      <c r="AB632" s="19">
        <v>1</v>
      </c>
      <c r="AC632" s="19" t="s">
        <v>60</v>
      </c>
      <c r="AD632" s="19" t="s">
        <v>419</v>
      </c>
      <c r="AE632" s="19" t="s">
        <v>1139</v>
      </c>
      <c r="AF632" s="19"/>
    </row>
    <row r="633" spans="1:34">
      <c r="A633" s="19">
        <v>623</v>
      </c>
      <c r="B633" s="19" t="s">
        <v>2781</v>
      </c>
      <c r="C633" s="19" t="s">
        <v>1712</v>
      </c>
      <c r="D633" s="19" t="str">
        <f>HYPERLINK("http://www.henontech.com/fieldsafety/harzard/harzard_show.php?rid=15187&amp;url=harzardrecs.php","蒸氨废水槽顶部人孔处有未清理的废空油桶，假如巡检工在下部作业时遇大风天气会被废空油桶砸伤背部，造成轻微骨折，住院治疗一个月出院在家休养一个月。")</f>
        <v>蒸氨废水槽顶部人孔处有未清理的废空油桶，假如巡检工在下部作业时遇大风天气会被废空油桶砸伤背部，造成轻微骨折，住院治疗一个月出院在家休养一个月。</v>
      </c>
      <c r="E633" s="19" t="s">
        <v>2785</v>
      </c>
      <c r="F633" s="25" t="s">
        <v>1853</v>
      </c>
      <c r="G633" s="21" t="s">
        <v>43</v>
      </c>
      <c r="H633" s="19" t="s">
        <v>44</v>
      </c>
      <c r="I633" s="19" t="s">
        <v>45</v>
      </c>
      <c r="J633" s="19" t="s">
        <v>46</v>
      </c>
      <c r="K633" s="19" t="s">
        <v>69</v>
      </c>
      <c r="L633" s="19" t="s">
        <v>48</v>
      </c>
      <c r="M633" s="19" t="s">
        <v>70</v>
      </c>
      <c r="N633" s="19" t="s">
        <v>1714</v>
      </c>
      <c r="O633" s="19" t="s">
        <v>70</v>
      </c>
      <c r="P633" s="19" t="s">
        <v>72</v>
      </c>
      <c r="Q633" s="19" t="s">
        <v>1322</v>
      </c>
      <c r="R633" s="19" t="s">
        <v>2786</v>
      </c>
      <c r="S633" s="19"/>
      <c r="T633" s="19" t="s">
        <v>54</v>
      </c>
      <c r="U633" s="19" t="s">
        <v>55</v>
      </c>
      <c r="V633" s="19" t="s">
        <v>101</v>
      </c>
      <c r="W633" s="19" t="s">
        <v>138</v>
      </c>
      <c r="X633" s="19"/>
      <c r="Y633" s="19"/>
      <c r="Z633" s="19" t="s">
        <v>2787</v>
      </c>
      <c r="AA633" s="19">
        <v>1</v>
      </c>
      <c r="AB633" s="19"/>
      <c r="AC633" s="19" t="s">
        <v>392</v>
      </c>
      <c r="AD633" s="19"/>
      <c r="AE633" s="19"/>
      <c r="AF633" s="19"/>
    </row>
    <row r="634" spans="1:34">
      <c r="A634" s="19">
        <v>624</v>
      </c>
      <c r="B634" s="19" t="s">
        <v>2781</v>
      </c>
      <c r="C634" s="19" t="s">
        <v>2058</v>
      </c>
      <c r="D634" s="19" t="str">
        <f>HYPERLINK("http://www.henontech.com/fieldsafety/harzard/harzard_show.php?rid=15188&amp;url=harzardrecs.php","南冷凝焦油泵出口阀门外包铝皮破损，如果操作工开关阀门时会被破损铝皮划伤手腕，送卫生室简单包扎不影响工作。")</f>
        <v>南冷凝焦油泵出口阀门外包铝皮破损，如果操作工开关阀门时会被破损铝皮划伤手腕，送卫生室简单包扎不影响工作。</v>
      </c>
      <c r="E634" s="19" t="s">
        <v>2788</v>
      </c>
      <c r="F634" s="25" t="s">
        <v>1853</v>
      </c>
      <c r="G634" s="21" t="s">
        <v>43</v>
      </c>
      <c r="H634" s="19" t="s">
        <v>44</v>
      </c>
      <c r="I634" s="19" t="s">
        <v>45</v>
      </c>
      <c r="J634" s="19" t="s">
        <v>46</v>
      </c>
      <c r="K634" s="19" t="s">
        <v>69</v>
      </c>
      <c r="L634" s="19" t="s">
        <v>48</v>
      </c>
      <c r="M634" s="19" t="s">
        <v>70</v>
      </c>
      <c r="N634" s="19" t="s">
        <v>2789</v>
      </c>
      <c r="O634" s="19" t="s">
        <v>70</v>
      </c>
      <c r="P634" s="19" t="s">
        <v>72</v>
      </c>
      <c r="Q634" s="19" t="s">
        <v>1322</v>
      </c>
      <c r="R634" s="19" t="s">
        <v>1063</v>
      </c>
      <c r="S634" s="19"/>
      <c r="T634" s="19" t="s">
        <v>54</v>
      </c>
      <c r="U634" s="19" t="s">
        <v>75</v>
      </c>
      <c r="V634" s="19" t="s">
        <v>56</v>
      </c>
      <c r="W634" s="19" t="s">
        <v>138</v>
      </c>
      <c r="X634" s="19"/>
      <c r="Y634" s="19"/>
      <c r="Z634" s="19" t="s">
        <v>2790</v>
      </c>
      <c r="AA634" s="19">
        <v>1</v>
      </c>
      <c r="AB634" s="19"/>
      <c r="AC634" s="19" t="s">
        <v>392</v>
      </c>
      <c r="AD634" s="19"/>
      <c r="AE634" s="19"/>
      <c r="AF634" s="19"/>
    </row>
    <row r="635" spans="1:34" customHeight="1" ht="42">
      <c r="A635" s="19">
        <v>625</v>
      </c>
      <c r="B635" s="19" t="s">
        <v>2781</v>
      </c>
      <c r="C635" s="19" t="s">
        <v>2735</v>
      </c>
      <c r="D635" s="19" t="str">
        <f>HYPERLINK("http://www.henontech.com/fieldsafety/harzard/harzard_show.php?rid=15197&amp;url=harzardrecs.php","下雨时深井屋子内电缆都在雨水里泡着，抄数时如果有漏电的容易发生触电事故")</f>
        <v>下雨时深井屋子内电缆都在雨水里泡着，抄数时如果有漏电的容易发生触电事故</v>
      </c>
      <c r="E635" s="19" t="s">
        <v>2791</v>
      </c>
      <c r="F635" s="25" t="s">
        <v>1853</v>
      </c>
      <c r="G635" s="21" t="s">
        <v>43</v>
      </c>
      <c r="H635" s="19" t="s">
        <v>44</v>
      </c>
      <c r="I635" s="19" t="s">
        <v>67</v>
      </c>
      <c r="J635" s="19" t="s">
        <v>334</v>
      </c>
      <c r="K635" s="19" t="s">
        <v>69</v>
      </c>
      <c r="L635" s="19" t="s">
        <v>375</v>
      </c>
      <c r="M635" s="19" t="s">
        <v>84</v>
      </c>
      <c r="N635" s="19" t="s">
        <v>2792</v>
      </c>
      <c r="O635" s="19" t="s">
        <v>84</v>
      </c>
      <c r="P635" s="19" t="s">
        <v>809</v>
      </c>
      <c r="Q635" s="19" t="s">
        <v>2132</v>
      </c>
      <c r="R635" s="19" t="s">
        <v>2793</v>
      </c>
      <c r="S635" s="19"/>
      <c r="T635" s="19" t="s">
        <v>54</v>
      </c>
      <c r="U635" s="19" t="s">
        <v>121</v>
      </c>
      <c r="V635" s="19" t="s">
        <v>101</v>
      </c>
      <c r="W635" s="19" t="s">
        <v>57</v>
      </c>
      <c r="X635" s="19" t="s">
        <v>58</v>
      </c>
      <c r="Y635" s="19"/>
      <c r="Z635" s="19" t="s">
        <v>2794</v>
      </c>
      <c r="AA635" s="19">
        <v>2</v>
      </c>
      <c r="AB635" s="19"/>
      <c r="AC635" s="19" t="s">
        <v>392</v>
      </c>
      <c r="AD635" s="19"/>
      <c r="AE635" s="19"/>
      <c r="AF635" s="19"/>
    </row>
    <row r="636" spans="1:34" customHeight="1" ht="42">
      <c r="A636" s="19">
        <v>626</v>
      </c>
      <c r="B636" s="19" t="s">
        <v>2781</v>
      </c>
      <c r="C636" s="19" t="s">
        <v>407</v>
      </c>
      <c r="D636" s="19" t="str">
        <f>HYPERLINK("http://www.henontech.com/fieldsafety/harzard/harzard_show.php?rid=15202&amp;url=harzardrecs.php","东二下料筒照明灯不亮")</f>
        <v>东二下料筒照明灯不亮</v>
      </c>
      <c r="E636" s="19" t="s">
        <v>2795</v>
      </c>
      <c r="F636" s="20" t="s">
        <v>42</v>
      </c>
      <c r="G636" s="21" t="s">
        <v>43</v>
      </c>
      <c r="H636" s="19" t="s">
        <v>44</v>
      </c>
      <c r="I636" s="19"/>
      <c r="J636" s="19" t="s">
        <v>46</v>
      </c>
      <c r="K636" s="19" t="s">
        <v>145</v>
      </c>
      <c r="L636" s="19"/>
      <c r="M636" s="19" t="s">
        <v>285</v>
      </c>
      <c r="N636" s="19" t="s">
        <v>2007</v>
      </c>
      <c r="O636" s="19" t="s">
        <v>285</v>
      </c>
      <c r="P636" s="19" t="s">
        <v>617</v>
      </c>
      <c r="Q636" s="19" t="s">
        <v>1322</v>
      </c>
      <c r="R636" s="19" t="s">
        <v>2796</v>
      </c>
      <c r="S636" s="19"/>
      <c r="T636" s="19" t="s">
        <v>54</v>
      </c>
      <c r="U636" s="19" t="s">
        <v>75</v>
      </c>
      <c r="V636" s="19" t="s">
        <v>76</v>
      </c>
      <c r="W636" s="19" t="s">
        <v>77</v>
      </c>
      <c r="X636" s="19" t="s">
        <v>235</v>
      </c>
      <c r="Y636" s="19" t="s">
        <v>235</v>
      </c>
      <c r="Z636" s="19" t="s">
        <v>2797</v>
      </c>
      <c r="AA636" s="19">
        <v>2</v>
      </c>
      <c r="AB636" s="19">
        <v>2</v>
      </c>
      <c r="AC636" s="19" t="s">
        <v>60</v>
      </c>
      <c r="AD636" s="19" t="s">
        <v>617</v>
      </c>
      <c r="AE636" s="19" t="s">
        <v>1139</v>
      </c>
      <c r="AF636" s="19"/>
    </row>
    <row r="637" spans="1:34">
      <c r="A637" s="19">
        <v>627</v>
      </c>
      <c r="B637" s="19" t="s">
        <v>2781</v>
      </c>
      <c r="C637" s="19" t="s">
        <v>1700</v>
      </c>
      <c r="D637" s="19" t="str">
        <f>HYPERLINK("http://www.henontech.com/fieldsafety/harzard/harzard_show.php?rid=15236&amp;url=harzardrecs.php","深度脱硫碱剁压棚布铁斗放置不规范，假如一操作工，在加碱时，铁斗滑落，砸到腿部，立即就医。")</f>
        <v>深度脱硫碱剁压棚布铁斗放置不规范，假如一操作工，在加碱时，铁斗滑落，砸到腿部，立即就医。</v>
      </c>
      <c r="E637" s="19" t="s">
        <v>2798</v>
      </c>
      <c r="F637" s="20" t="s">
        <v>42</v>
      </c>
      <c r="G637" s="21" t="s">
        <v>43</v>
      </c>
      <c r="H637" s="19" t="s">
        <v>44</v>
      </c>
      <c r="I637" s="19" t="s">
        <v>83</v>
      </c>
      <c r="J637" s="19"/>
      <c r="K637" s="19" t="s">
        <v>69</v>
      </c>
      <c r="L637" s="19" t="s">
        <v>48</v>
      </c>
      <c r="M637" s="19" t="s">
        <v>70</v>
      </c>
      <c r="N637" s="19" t="s">
        <v>784</v>
      </c>
      <c r="O637" s="19" t="s">
        <v>70</v>
      </c>
      <c r="P637" s="19" t="s">
        <v>72</v>
      </c>
      <c r="Q637" s="19" t="s">
        <v>1322</v>
      </c>
      <c r="R637" s="19" t="s">
        <v>2799</v>
      </c>
      <c r="S637" s="19"/>
      <c r="T637" s="19" t="s">
        <v>54</v>
      </c>
      <c r="U637" s="19" t="s">
        <v>75</v>
      </c>
      <c r="V637" s="19" t="s">
        <v>101</v>
      </c>
      <c r="W637" s="19" t="s">
        <v>77</v>
      </c>
      <c r="X637" s="19"/>
      <c r="Y637" s="19"/>
      <c r="Z637" s="19" t="s">
        <v>2800</v>
      </c>
      <c r="AA637" s="19">
        <v>1</v>
      </c>
      <c r="AB637" s="19">
        <v>1</v>
      </c>
      <c r="AC637" s="19" t="s">
        <v>60</v>
      </c>
      <c r="AD637" s="19" t="s">
        <v>72</v>
      </c>
      <c r="AE637" s="19" t="s">
        <v>1202</v>
      </c>
      <c r="AF637" s="19"/>
    </row>
    <row r="638" spans="1:34">
      <c r="A638" s="19">
        <v>628</v>
      </c>
      <c r="B638" s="19" t="s">
        <v>2781</v>
      </c>
      <c r="C638" s="19" t="s">
        <v>407</v>
      </c>
      <c r="D638" s="19" t="str">
        <f>HYPERLINK("http://www.henontech.com/fieldsafety/harzard/harzard_show.php?rid=15242&amp;url=harzardrecs.php","东四除铁器有废旧钢筋和铁丝，未及时清理，造成皮带割伤撕裂。")</f>
        <v>东四除铁器有废旧钢筋和铁丝，未及时清理，造成皮带割伤撕裂。</v>
      </c>
      <c r="E638" s="19" t="s">
        <v>2801</v>
      </c>
      <c r="F638" s="20" t="s">
        <v>42</v>
      </c>
      <c r="G638" s="21" t="s">
        <v>43</v>
      </c>
      <c r="H638" s="19" t="s">
        <v>44</v>
      </c>
      <c r="I638" s="19" t="s">
        <v>83</v>
      </c>
      <c r="J638" s="19" t="s">
        <v>46</v>
      </c>
      <c r="K638" s="19" t="s">
        <v>145</v>
      </c>
      <c r="L638" s="19"/>
      <c r="M638" s="19" t="s">
        <v>285</v>
      </c>
      <c r="N638" s="19" t="s">
        <v>2802</v>
      </c>
      <c r="O638" s="19" t="s">
        <v>285</v>
      </c>
      <c r="P638" s="19" t="s">
        <v>410</v>
      </c>
      <c r="Q638" s="19" t="s">
        <v>1904</v>
      </c>
      <c r="R638" s="19" t="s">
        <v>2388</v>
      </c>
      <c r="S638" s="19"/>
      <c r="T638" s="19" t="s">
        <v>100</v>
      </c>
      <c r="U638" s="19" t="s">
        <v>192</v>
      </c>
      <c r="V638" s="19" t="s">
        <v>101</v>
      </c>
      <c r="W638" s="19" t="s">
        <v>77</v>
      </c>
      <c r="X638" s="19"/>
      <c r="Y638" s="19"/>
      <c r="Z638" s="19" t="s">
        <v>2803</v>
      </c>
      <c r="AA638" s="19">
        <v>1</v>
      </c>
      <c r="AB638" s="19">
        <v>1</v>
      </c>
      <c r="AC638" s="19" t="s">
        <v>60</v>
      </c>
      <c r="AD638" s="19" t="s">
        <v>410</v>
      </c>
      <c r="AE638" s="19" t="s">
        <v>1123</v>
      </c>
      <c r="AF638" s="19"/>
    </row>
    <row r="639" spans="1:34">
      <c r="A639" s="19">
        <v>629</v>
      </c>
      <c r="B639" s="19" t="s">
        <v>2781</v>
      </c>
      <c r="C639" s="19" t="s">
        <v>1899</v>
      </c>
      <c r="D639" s="19" t="str">
        <f>HYPERLINK("http://www.henontech.com/fieldsafety/harzard/harzard_show.php?rid=15248&amp;url=harzardrecs.php","粗苯南地下放空槽罐口无盖，罐内装有洗油、萘油、粗苯等液体，挥发的气味造成环境污染。")</f>
        <v>粗苯南地下放空槽罐口无盖，罐内装有洗油、萘油、粗苯等液体，挥发的气味造成环境污染。</v>
      </c>
      <c r="E639" s="19" t="s">
        <v>2804</v>
      </c>
      <c r="F639" s="20" t="s">
        <v>42</v>
      </c>
      <c r="G639" s="21" t="s">
        <v>43</v>
      </c>
      <c r="H639" s="19" t="s">
        <v>44</v>
      </c>
      <c r="I639" s="19" t="s">
        <v>67</v>
      </c>
      <c r="J639" s="19" t="s">
        <v>401</v>
      </c>
      <c r="K639" s="19" t="s">
        <v>47</v>
      </c>
      <c r="L639" s="19" t="s">
        <v>48</v>
      </c>
      <c r="M639" s="19" t="s">
        <v>70</v>
      </c>
      <c r="N639" s="19" t="s">
        <v>2805</v>
      </c>
      <c r="O639" s="19" t="s">
        <v>70</v>
      </c>
      <c r="P639" s="19" t="s">
        <v>72</v>
      </c>
      <c r="Q639" s="19" t="s">
        <v>1322</v>
      </c>
      <c r="R639" s="19" t="s">
        <v>2806</v>
      </c>
      <c r="S639" s="19"/>
      <c r="T639" s="19" t="s">
        <v>270</v>
      </c>
      <c r="U639" s="19" t="s">
        <v>75</v>
      </c>
      <c r="V639" s="19" t="s">
        <v>56</v>
      </c>
      <c r="W639" s="19" t="s">
        <v>138</v>
      </c>
      <c r="X639" s="19"/>
      <c r="Y639" s="19"/>
      <c r="Z639" s="19" t="s">
        <v>2807</v>
      </c>
      <c r="AA639" s="19">
        <v>1</v>
      </c>
      <c r="AB639" s="19">
        <v>1</v>
      </c>
      <c r="AC639" s="19" t="s">
        <v>60</v>
      </c>
      <c r="AD639" s="19" t="s">
        <v>72</v>
      </c>
      <c r="AE639" s="19" t="s">
        <v>1074</v>
      </c>
      <c r="AF639" s="19"/>
    </row>
    <row r="640" spans="1:34">
      <c r="A640" s="19">
        <v>630</v>
      </c>
      <c r="B640" s="19" t="s">
        <v>2781</v>
      </c>
      <c r="C640" s="19" t="s">
        <v>2636</v>
      </c>
      <c r="D640" s="19" t="str">
        <f>HYPERLINK("http://www.henontech.com/fieldsafety/harzard/harzard_show.php?rid=15257&amp;url=harzardrecs.php","一名作业人员巡检时经过此处被绊倒  造成右腿摔伤 送医务室治疗后上班 没有损工")</f>
        <v>一名作业人员巡检时经过此处被绊倒  造成右腿摔伤 送医务室治疗后上班 没有损工</v>
      </c>
      <c r="E640" s="19" t="s">
        <v>2808</v>
      </c>
      <c r="F640" s="20" t="s">
        <v>42</v>
      </c>
      <c r="G640" s="21" t="s">
        <v>43</v>
      </c>
      <c r="H640" s="19" t="s">
        <v>44</v>
      </c>
      <c r="I640" s="19" t="s">
        <v>67</v>
      </c>
      <c r="J640" s="19"/>
      <c r="K640" s="19" t="s">
        <v>69</v>
      </c>
      <c r="L640" s="19" t="s">
        <v>48</v>
      </c>
      <c r="M640" s="19" t="s">
        <v>70</v>
      </c>
      <c r="N640" s="19" t="s">
        <v>2809</v>
      </c>
      <c r="O640" s="19" t="s">
        <v>70</v>
      </c>
      <c r="P640" s="19" t="s">
        <v>72</v>
      </c>
      <c r="Q640" s="19" t="s">
        <v>1322</v>
      </c>
      <c r="R640" s="19" t="s">
        <v>2810</v>
      </c>
      <c r="S640" s="19"/>
      <c r="T640" s="19" t="s">
        <v>54</v>
      </c>
      <c r="U640" s="19" t="s">
        <v>192</v>
      </c>
      <c r="V640" s="19" t="s">
        <v>76</v>
      </c>
      <c r="W640" s="19" t="s">
        <v>77</v>
      </c>
      <c r="X640" s="19"/>
      <c r="Y640" s="19"/>
      <c r="Z640" s="19" t="s">
        <v>2811</v>
      </c>
      <c r="AA640" s="19">
        <v>1</v>
      </c>
      <c r="AB640" s="19">
        <v>1</v>
      </c>
      <c r="AC640" s="19" t="s">
        <v>60</v>
      </c>
      <c r="AD640" s="19" t="s">
        <v>72</v>
      </c>
      <c r="AE640" s="19" t="s">
        <v>1074</v>
      </c>
      <c r="AF640" s="19"/>
    </row>
    <row r="641" spans="1:34">
      <c r="A641" s="19">
        <v>631</v>
      </c>
      <c r="B641" s="19" t="s">
        <v>1088</v>
      </c>
      <c r="C641" s="19" t="s">
        <v>879</v>
      </c>
      <c r="D641" s="19" t="str">
        <f>HYPERLINK("http://www.henontech.com/fieldsafety/harzard/harzard_show.php?rid=15293&amp;url=harzardrecs.php","汽轮机房至循环水泵房电缆桥架（5米）电缆盒盖板翘起，一名巡检人员巡检经过桥架底部时，盖板从桥架上掉落，砸中该员工右肩，送医检查，右肩骨折。")</f>
        <v>汽轮机房至循环水泵房电缆桥架（5米）电缆盒盖板翘起，一名巡检人员巡检经过桥架底部时，盖板从桥架上掉落，砸中该员工右肩，送医检查，右肩骨折。</v>
      </c>
      <c r="E641" s="19" t="s">
        <v>2812</v>
      </c>
      <c r="F641" s="20" t="s">
        <v>42</v>
      </c>
      <c r="G641" s="21" t="s">
        <v>43</v>
      </c>
      <c r="H641" s="19" t="s">
        <v>44</v>
      </c>
      <c r="I641" s="19" t="s">
        <v>45</v>
      </c>
      <c r="J641" s="19" t="s">
        <v>46</v>
      </c>
      <c r="K641" s="19" t="s">
        <v>69</v>
      </c>
      <c r="L641" s="19" t="s">
        <v>48</v>
      </c>
      <c r="M641" s="19" t="s">
        <v>117</v>
      </c>
      <c r="N641" s="19" t="s">
        <v>1014</v>
      </c>
      <c r="O641" s="19" t="s">
        <v>117</v>
      </c>
      <c r="P641" s="19" t="s">
        <v>635</v>
      </c>
      <c r="Q641" s="19" t="s">
        <v>1904</v>
      </c>
      <c r="R641" s="19" t="s">
        <v>2813</v>
      </c>
      <c r="S641" s="19" t="s">
        <v>2814</v>
      </c>
      <c r="T641" s="19" t="s">
        <v>54</v>
      </c>
      <c r="U641" s="19" t="s">
        <v>55</v>
      </c>
      <c r="V641" s="19" t="s">
        <v>56</v>
      </c>
      <c r="W641" s="19" t="s">
        <v>57</v>
      </c>
      <c r="X641" s="19" t="s">
        <v>58</v>
      </c>
      <c r="Y641" s="19"/>
      <c r="Z641" s="19" t="s">
        <v>2815</v>
      </c>
      <c r="AA641" s="19">
        <v>1</v>
      </c>
      <c r="AB641" s="19">
        <v>1</v>
      </c>
      <c r="AC641" s="19" t="s">
        <v>60</v>
      </c>
      <c r="AD641" s="19" t="s">
        <v>635</v>
      </c>
      <c r="AE641" s="19" t="s">
        <v>1139</v>
      </c>
      <c r="AF641" s="19" t="s">
        <v>2816</v>
      </c>
    </row>
    <row r="642" spans="1:34" customHeight="1" ht="42">
      <c r="A642" s="19">
        <v>632</v>
      </c>
      <c r="B642" s="19" t="s">
        <v>1088</v>
      </c>
      <c r="C642" s="19" t="s">
        <v>1925</v>
      </c>
      <c r="D642" s="19" t="str">
        <f>HYPERLINK("http://www.henontech.com/fieldsafety/harzard/harzard_show.php?rid=15311&amp;url=harzardrecs.php","东二吊装门未关闭")</f>
        <v>东二吊装门未关闭</v>
      </c>
      <c r="E642" s="19" t="s">
        <v>2817</v>
      </c>
      <c r="F642" s="20" t="s">
        <v>42</v>
      </c>
      <c r="G642" s="21" t="s">
        <v>43</v>
      </c>
      <c r="H642" s="19" t="s">
        <v>44</v>
      </c>
      <c r="I642" s="19" t="s">
        <v>83</v>
      </c>
      <c r="J642" s="19" t="s">
        <v>46</v>
      </c>
      <c r="K642" s="19" t="s">
        <v>47</v>
      </c>
      <c r="L642" s="19" t="s">
        <v>48</v>
      </c>
      <c r="M642" s="19" t="s">
        <v>285</v>
      </c>
      <c r="N642" s="19" t="s">
        <v>1167</v>
      </c>
      <c r="O642" s="19" t="s">
        <v>285</v>
      </c>
      <c r="P642" s="19" t="s">
        <v>617</v>
      </c>
      <c r="Q642" s="19" t="s">
        <v>1322</v>
      </c>
      <c r="R642" s="19" t="s">
        <v>2327</v>
      </c>
      <c r="S642" s="19"/>
      <c r="T642" s="19" t="s">
        <v>54</v>
      </c>
      <c r="U642" s="19" t="s">
        <v>75</v>
      </c>
      <c r="V642" s="19" t="s">
        <v>76</v>
      </c>
      <c r="W642" s="19" t="s">
        <v>77</v>
      </c>
      <c r="X642" s="19" t="s">
        <v>235</v>
      </c>
      <c r="Y642" s="19" t="s">
        <v>235</v>
      </c>
      <c r="Z642" s="19" t="s">
        <v>2818</v>
      </c>
      <c r="AA642" s="19">
        <v>2</v>
      </c>
      <c r="AB642" s="19">
        <v>2</v>
      </c>
      <c r="AC642" s="19" t="s">
        <v>60</v>
      </c>
      <c r="AD642" s="19" t="s">
        <v>617</v>
      </c>
      <c r="AE642" s="19" t="s">
        <v>1139</v>
      </c>
      <c r="AF642" s="19"/>
    </row>
    <row r="643" spans="1:34">
      <c r="A643" s="19">
        <v>633</v>
      </c>
      <c r="B643" s="19" t="s">
        <v>1123</v>
      </c>
      <c r="C643" s="19" t="s">
        <v>879</v>
      </c>
      <c r="D643" s="19" t="str">
        <f>HYPERLINK("http://www.henontech.com/fieldsafety/harzard/harzard_show.php?rid=15315&amp;url=harzardrecs.php","由于电缆套管破裂，一名巡检人员巡检至此处时，电缆一旦漏电，巡检人员不慎碰触电缆，导致巡检人员触电，失去知觉，有效抢救后送医治疗。")</f>
        <v>由于电缆套管破裂，一名巡检人员巡检至此处时，电缆一旦漏电，巡检人员不慎碰触电缆，导致巡检人员触电，失去知觉，有效抢救后送医治疗。</v>
      </c>
      <c r="E643" s="19" t="s">
        <v>2819</v>
      </c>
      <c r="F643" s="20" t="s">
        <v>42</v>
      </c>
      <c r="G643" s="21" t="s">
        <v>43</v>
      </c>
      <c r="H643" s="19" t="s">
        <v>44</v>
      </c>
      <c r="I643" s="19" t="s">
        <v>45</v>
      </c>
      <c r="J643" s="19" t="s">
        <v>46</v>
      </c>
      <c r="K643" s="19" t="s">
        <v>69</v>
      </c>
      <c r="L643" s="19" t="s">
        <v>48</v>
      </c>
      <c r="M643" s="19" t="s">
        <v>117</v>
      </c>
      <c r="N643" s="19" t="s">
        <v>1156</v>
      </c>
      <c r="O643" s="19" t="s">
        <v>117</v>
      </c>
      <c r="P643" s="19" t="s">
        <v>635</v>
      </c>
      <c r="Q643" s="19" t="s">
        <v>1904</v>
      </c>
      <c r="R643" s="19" t="s">
        <v>1129</v>
      </c>
      <c r="S643" s="19" t="s">
        <v>2820</v>
      </c>
      <c r="T643" s="19" t="s">
        <v>54</v>
      </c>
      <c r="U643" s="19" t="s">
        <v>55</v>
      </c>
      <c r="V643" s="19" t="s">
        <v>56</v>
      </c>
      <c r="W643" s="19" t="s">
        <v>57</v>
      </c>
      <c r="X643" s="19" t="s">
        <v>58</v>
      </c>
      <c r="Y643" s="19"/>
      <c r="Z643" s="19" t="s">
        <v>2821</v>
      </c>
      <c r="AA643" s="19">
        <v>1</v>
      </c>
      <c r="AB643" s="19">
        <v>1</v>
      </c>
      <c r="AC643" s="19" t="s">
        <v>60</v>
      </c>
      <c r="AD643" s="19" t="s">
        <v>635</v>
      </c>
      <c r="AE643" s="19" t="s">
        <v>1139</v>
      </c>
      <c r="AF643" s="19" t="s">
        <v>2822</v>
      </c>
    </row>
    <row r="644" spans="1:34" customHeight="1" ht="42">
      <c r="A644" s="19">
        <v>634</v>
      </c>
      <c r="B644" s="19" t="s">
        <v>1088</v>
      </c>
      <c r="C644" s="19" t="s">
        <v>2823</v>
      </c>
      <c r="D644" s="19" t="str">
        <f>HYPERLINK("http://www.henontech.com/fieldsafety/harzard/harzard_show.php?rid=15352&amp;url=harzardrecs.php","脱硫塔闸板电机防护罩脱落，时间长了造成电机损坏，造成闸板下落，造成锅炉停车")</f>
        <v>脱硫塔闸板电机防护罩脱落，时间长了造成电机损坏，造成闸板下落，造成锅炉停车</v>
      </c>
      <c r="E644" s="19" t="s">
        <v>2824</v>
      </c>
      <c r="F644" s="25" t="s">
        <v>1853</v>
      </c>
      <c r="G644" s="21" t="s">
        <v>43</v>
      </c>
      <c r="H644" s="19" t="s">
        <v>44</v>
      </c>
      <c r="I644" s="19" t="s">
        <v>67</v>
      </c>
      <c r="J644" s="19" t="s">
        <v>46</v>
      </c>
      <c r="K644" s="19" t="s">
        <v>69</v>
      </c>
      <c r="L644" s="19" t="s">
        <v>48</v>
      </c>
      <c r="M644" s="19" t="s">
        <v>84</v>
      </c>
      <c r="N644" s="19" t="s">
        <v>2825</v>
      </c>
      <c r="O644" s="19" t="s">
        <v>84</v>
      </c>
      <c r="P644" s="19" t="s">
        <v>809</v>
      </c>
      <c r="Q644" s="19" t="s">
        <v>2132</v>
      </c>
      <c r="R644" s="19" t="s">
        <v>2823</v>
      </c>
      <c r="S644" s="19"/>
      <c r="T644" s="19" t="s">
        <v>100</v>
      </c>
      <c r="U644" s="19" t="s">
        <v>192</v>
      </c>
      <c r="V644" s="19" t="s">
        <v>101</v>
      </c>
      <c r="W644" s="19" t="s">
        <v>77</v>
      </c>
      <c r="X644" s="19" t="s">
        <v>58</v>
      </c>
      <c r="Y644" s="19"/>
      <c r="Z644" s="19" t="s">
        <v>2826</v>
      </c>
      <c r="AA644" s="19">
        <v>2</v>
      </c>
      <c r="AB644" s="19"/>
      <c r="AC644" s="19" t="s">
        <v>392</v>
      </c>
      <c r="AD644" s="19"/>
      <c r="AE644" s="19"/>
      <c r="AF644" s="19"/>
    </row>
    <row r="645" spans="1:34">
      <c r="A645" s="19">
        <v>635</v>
      </c>
      <c r="B645" s="19" t="s">
        <v>1088</v>
      </c>
      <c r="C645" s="19" t="s">
        <v>1133</v>
      </c>
      <c r="D645" s="19" t="str">
        <f>HYPERLINK("http://www.henontech.com/fieldsafety/harzard/harzard_show.php?rid=15377&amp;url=harzardrecs.php","一员工在擦二楼窗户玻璃时，不慎被墙面暖气拆除遗留的角铁划伤大腿，送医后缝合五针，需在家休养三天。")</f>
        <v>一员工在擦二楼窗户玻璃时，不慎被墙面暖气拆除遗留的角铁划伤大腿，送医后缝合五针，需在家休养三天。</v>
      </c>
      <c r="E645" s="19" t="s">
        <v>2827</v>
      </c>
      <c r="F645" s="20" t="s">
        <v>42</v>
      </c>
      <c r="G645" s="21" t="s">
        <v>43</v>
      </c>
      <c r="H645" s="19" t="s">
        <v>44</v>
      </c>
      <c r="I645" s="19" t="s">
        <v>45</v>
      </c>
      <c r="J645" s="19" t="s">
        <v>68</v>
      </c>
      <c r="K645" s="19" t="s">
        <v>145</v>
      </c>
      <c r="L645" s="19"/>
      <c r="M645" s="19" t="s">
        <v>117</v>
      </c>
      <c r="N645" s="19" t="s">
        <v>1553</v>
      </c>
      <c r="O645" s="19" t="s">
        <v>117</v>
      </c>
      <c r="P645" s="19" t="s">
        <v>635</v>
      </c>
      <c r="Q645" s="19" t="s">
        <v>1904</v>
      </c>
      <c r="R645" s="19" t="s">
        <v>2828</v>
      </c>
      <c r="S645" s="19" t="s">
        <v>2829</v>
      </c>
      <c r="T645" s="19" t="s">
        <v>54</v>
      </c>
      <c r="U645" s="19" t="s">
        <v>75</v>
      </c>
      <c r="V645" s="19" t="s">
        <v>101</v>
      </c>
      <c r="W645" s="19" t="s">
        <v>77</v>
      </c>
      <c r="X645" s="19" t="s">
        <v>235</v>
      </c>
      <c r="Y645" s="19"/>
      <c r="Z645" s="19" t="s">
        <v>2830</v>
      </c>
      <c r="AA645" s="19">
        <v>1</v>
      </c>
      <c r="AB645" s="19">
        <v>1</v>
      </c>
      <c r="AC645" s="19" t="s">
        <v>60</v>
      </c>
      <c r="AD645" s="19" t="s">
        <v>635</v>
      </c>
      <c r="AE645" s="19" t="s">
        <v>1132</v>
      </c>
      <c r="AF645" s="19" t="s">
        <v>2831</v>
      </c>
    </row>
    <row r="646" spans="1:34">
      <c r="A646" s="19">
        <v>636</v>
      </c>
      <c r="B646" s="19" t="s">
        <v>1123</v>
      </c>
      <c r="C646" s="19" t="s">
        <v>1925</v>
      </c>
      <c r="D646" s="19" t="str">
        <f>HYPERLINK("http://www.henontech.com/fieldsafety/harzard/harzard_show.php?rid=15404&amp;url=harzardrecs.php","东一地沟后尾涝坑篦子缺失，一职工巡检时，一旦踩空，右腿跌落涝坑，造成划伤，送医检查，右小腿轻微划伤，敷药包扎后回到岗位继续工作。")</f>
        <v>东一地沟后尾涝坑篦子缺失，一职工巡检时，一旦踩空，右腿跌落涝坑，造成划伤，送医检查，右小腿轻微划伤，敷药包扎后回到岗位继续工作。</v>
      </c>
      <c r="E646" s="19" t="s">
        <v>2832</v>
      </c>
      <c r="F646" s="20" t="s">
        <v>42</v>
      </c>
      <c r="G646" s="21" t="s">
        <v>43</v>
      </c>
      <c r="H646" s="19" t="s">
        <v>44</v>
      </c>
      <c r="I646" s="19" t="s">
        <v>45</v>
      </c>
      <c r="J646" s="19" t="s">
        <v>46</v>
      </c>
      <c r="K646" s="19" t="s">
        <v>47</v>
      </c>
      <c r="L646" s="19" t="s">
        <v>48</v>
      </c>
      <c r="M646" s="19" t="s">
        <v>285</v>
      </c>
      <c r="N646" s="19" t="s">
        <v>555</v>
      </c>
      <c r="O646" s="19" t="s">
        <v>285</v>
      </c>
      <c r="P646" s="19" t="s">
        <v>419</v>
      </c>
      <c r="Q646" s="19" t="s">
        <v>1139</v>
      </c>
      <c r="R646" s="19" t="s">
        <v>2833</v>
      </c>
      <c r="S646" s="19"/>
      <c r="T646" s="19" t="s">
        <v>54</v>
      </c>
      <c r="U646" s="19" t="s">
        <v>55</v>
      </c>
      <c r="V646" s="19" t="s">
        <v>101</v>
      </c>
      <c r="W646" s="19" t="s">
        <v>138</v>
      </c>
      <c r="X646" s="19"/>
      <c r="Y646" s="19"/>
      <c r="Z646" s="19" t="s">
        <v>2834</v>
      </c>
      <c r="AA646" s="19">
        <v>1</v>
      </c>
      <c r="AB646" s="19">
        <v>1</v>
      </c>
      <c r="AC646" s="19" t="s">
        <v>60</v>
      </c>
      <c r="AD646" s="19" t="s">
        <v>419</v>
      </c>
      <c r="AE646" s="19" t="s">
        <v>1139</v>
      </c>
      <c r="AF646" s="19"/>
    </row>
    <row r="647" spans="1:34" customHeight="1" ht="42">
      <c r="A647" s="19">
        <v>637</v>
      </c>
      <c r="B647" s="19" t="s">
        <v>1123</v>
      </c>
      <c r="C647" s="19" t="s">
        <v>1925</v>
      </c>
      <c r="D647" s="19" t="str">
        <f>HYPERLINK("http://www.henontech.com/fieldsafety/harzard/harzard_show.php?rid=15431&amp;url=harzardrecs.php","东二岗位护栏套管缺失，一员工清理卫生时，被托辊轻微挤伤")</f>
        <v>东二岗位护栏套管缺失，一员工清理卫生时，被托辊轻微挤伤</v>
      </c>
      <c r="E647" s="19" t="s">
        <v>2835</v>
      </c>
      <c r="F647" s="20" t="s">
        <v>42</v>
      </c>
      <c r="G647" s="21" t="s">
        <v>43</v>
      </c>
      <c r="H647" s="19" t="s">
        <v>44</v>
      </c>
      <c r="I647" s="19" t="s">
        <v>67</v>
      </c>
      <c r="J647" s="19" t="s">
        <v>46</v>
      </c>
      <c r="K647" s="19" t="s">
        <v>47</v>
      </c>
      <c r="L647" s="19" t="s">
        <v>48</v>
      </c>
      <c r="M647" s="19" t="s">
        <v>285</v>
      </c>
      <c r="N647" s="19" t="s">
        <v>2836</v>
      </c>
      <c r="O647" s="19" t="s">
        <v>285</v>
      </c>
      <c r="P647" s="19" t="s">
        <v>617</v>
      </c>
      <c r="Q647" s="19" t="s">
        <v>1322</v>
      </c>
      <c r="R647" s="19" t="s">
        <v>2837</v>
      </c>
      <c r="S647" s="19"/>
      <c r="T647" s="19" t="s">
        <v>54</v>
      </c>
      <c r="U647" s="19" t="s">
        <v>75</v>
      </c>
      <c r="V647" s="19" t="s">
        <v>101</v>
      </c>
      <c r="W647" s="19" t="s">
        <v>77</v>
      </c>
      <c r="X647" s="19" t="s">
        <v>235</v>
      </c>
      <c r="Y647" s="19" t="s">
        <v>235</v>
      </c>
      <c r="Z647" s="19" t="s">
        <v>2838</v>
      </c>
      <c r="AA647" s="19">
        <v>2</v>
      </c>
      <c r="AB647" s="19">
        <v>2</v>
      </c>
      <c r="AC647" s="19" t="s">
        <v>60</v>
      </c>
      <c r="AD647" s="19" t="s">
        <v>617</v>
      </c>
      <c r="AE647" s="19" t="s">
        <v>1139</v>
      </c>
      <c r="AF647" s="19"/>
    </row>
    <row r="648" spans="1:34">
      <c r="A648" s="19">
        <v>638</v>
      </c>
      <c r="B648" s="19" t="s">
        <v>1123</v>
      </c>
      <c r="C648" s="19" t="s">
        <v>879</v>
      </c>
      <c r="D648" s="19" t="str">
        <f>HYPERLINK("http://www.henontech.com/fieldsafety/harzard/harzard_show.php?rid=15500&amp;url=harzardrecs.php","平台二层铁件未清理，平台高度五米，一名巡检人员巡检至平台底部时，铁件坠落砸中右侧肩部，送医治疗，确诊右肩骨折，")</f>
        <v>平台二层铁件未清理，平台高度五米，一名巡检人员巡检至平台底部时，铁件坠落砸中右侧肩部，送医治疗，确诊右肩骨折，</v>
      </c>
      <c r="E648" s="19" t="s">
        <v>2839</v>
      </c>
      <c r="F648" s="20" t="s">
        <v>42</v>
      </c>
      <c r="G648" s="21" t="s">
        <v>43</v>
      </c>
      <c r="H648" s="19" t="s">
        <v>44</v>
      </c>
      <c r="I648" s="19" t="s">
        <v>45</v>
      </c>
      <c r="J648" s="19" t="s">
        <v>68</v>
      </c>
      <c r="K648" s="19" t="s">
        <v>145</v>
      </c>
      <c r="L648" s="19" t="s">
        <v>48</v>
      </c>
      <c r="M648" s="19" t="s">
        <v>117</v>
      </c>
      <c r="N648" s="19" t="s">
        <v>2840</v>
      </c>
      <c r="O648" s="19" t="s">
        <v>117</v>
      </c>
      <c r="P648" s="19" t="s">
        <v>635</v>
      </c>
      <c r="Q648" s="19" t="s">
        <v>1904</v>
      </c>
      <c r="R648" s="19" t="s">
        <v>2841</v>
      </c>
      <c r="S648" s="19" t="s">
        <v>2842</v>
      </c>
      <c r="T648" s="19" t="s">
        <v>54</v>
      </c>
      <c r="U648" s="19" t="s">
        <v>55</v>
      </c>
      <c r="V648" s="19" t="s">
        <v>56</v>
      </c>
      <c r="W648" s="19" t="s">
        <v>57</v>
      </c>
      <c r="X648" s="19" t="s">
        <v>235</v>
      </c>
      <c r="Y648" s="19"/>
      <c r="Z648" s="19" t="s">
        <v>1814</v>
      </c>
      <c r="AA648" s="19">
        <v>1</v>
      </c>
      <c r="AB648" s="19">
        <v>1</v>
      </c>
      <c r="AC648" s="19" t="s">
        <v>60</v>
      </c>
      <c r="AD648" s="19" t="s">
        <v>635</v>
      </c>
      <c r="AE648" s="19" t="s">
        <v>1139</v>
      </c>
      <c r="AF648" s="19" t="s">
        <v>1815</v>
      </c>
    </row>
    <row r="649" spans="1:34">
      <c r="A649" s="19">
        <v>639</v>
      </c>
      <c r="B649" s="19" t="s">
        <v>1123</v>
      </c>
      <c r="C649" s="19" t="s">
        <v>1925</v>
      </c>
      <c r="D649" s="19" t="str">
        <f>HYPERLINK("http://www.henontech.com/fieldsafety/harzard/harzard_show.php?rid=15501&amp;url=harzardrecs.php","一水沟盖板断裂，行人经过时不小心踩空划伤腿部，送医务室进行简单包扎继续回岗操作。")</f>
        <v>一水沟盖板断裂，行人经过时不小心踩空划伤腿部，送医务室进行简单包扎继续回岗操作。</v>
      </c>
      <c r="E649" s="19" t="s">
        <v>2843</v>
      </c>
      <c r="F649" s="24" t="s">
        <v>387</v>
      </c>
      <c r="G649" s="21" t="s">
        <v>43</v>
      </c>
      <c r="H649" s="19" t="s">
        <v>44</v>
      </c>
      <c r="I649" s="19" t="s">
        <v>83</v>
      </c>
      <c r="J649" s="19" t="s">
        <v>46</v>
      </c>
      <c r="K649" s="19" t="s">
        <v>69</v>
      </c>
      <c r="L649" s="19" t="s">
        <v>48</v>
      </c>
      <c r="M649" s="19" t="s">
        <v>285</v>
      </c>
      <c r="N649" s="19" t="s">
        <v>2844</v>
      </c>
      <c r="O649" s="19"/>
      <c r="P649" s="19"/>
      <c r="Q649" s="19"/>
      <c r="R649" s="19" t="s">
        <v>2845</v>
      </c>
      <c r="S649" s="19" t="s">
        <v>2846</v>
      </c>
      <c r="T649" s="19" t="s">
        <v>54</v>
      </c>
      <c r="U649" s="19" t="s">
        <v>192</v>
      </c>
      <c r="V649" s="19" t="s">
        <v>271</v>
      </c>
      <c r="W649" s="19" t="s">
        <v>77</v>
      </c>
      <c r="X649" s="19"/>
      <c r="Y649" s="19"/>
      <c r="Z649" s="19"/>
      <c r="AA649" s="19">
        <v>0</v>
      </c>
      <c r="AB649" s="19"/>
      <c r="AC649" s="19" t="s">
        <v>392</v>
      </c>
      <c r="AD649" s="19"/>
      <c r="AE649" s="19"/>
      <c r="AF649" s="19"/>
    </row>
    <row r="650" spans="1:34">
      <c r="A650" s="19">
        <v>640</v>
      </c>
      <c r="B650" s="19" t="s">
        <v>1123</v>
      </c>
      <c r="C650" s="19" t="s">
        <v>1380</v>
      </c>
      <c r="D650" s="19" t="str">
        <f>HYPERLINK("http://www.henontech.com/fieldsafety/harzard/harzard_show.php?rid=15513&amp;url=harzardrecs.php","电缆套管缺失，一名巡检人员巡检此处时，电缆一旦漏电巡检人员不慎触碰到电缆，导致人员触电，经现场心肺复苏后送医抢救，抢救无效死亡。")</f>
        <v>电缆套管缺失，一名巡检人员巡检此处时，电缆一旦漏电巡检人员不慎触碰到电缆，导致人员触电，经现场心肺复苏后送医抢救，抢救无效死亡。</v>
      </c>
      <c r="E650" s="19" t="s">
        <v>2364</v>
      </c>
      <c r="F650" s="20" t="s">
        <v>42</v>
      </c>
      <c r="G650" s="21" t="s">
        <v>43</v>
      </c>
      <c r="H650" s="19" t="s">
        <v>44</v>
      </c>
      <c r="I650" s="19" t="s">
        <v>45</v>
      </c>
      <c r="J650" s="19" t="s">
        <v>46</v>
      </c>
      <c r="K650" s="19" t="s">
        <v>69</v>
      </c>
      <c r="L650" s="19" t="s">
        <v>48</v>
      </c>
      <c r="M650" s="19" t="s">
        <v>117</v>
      </c>
      <c r="N650" s="19" t="s">
        <v>1811</v>
      </c>
      <c r="O650" s="19" t="s">
        <v>117</v>
      </c>
      <c r="P650" s="19" t="s">
        <v>635</v>
      </c>
      <c r="Q650" s="19" t="s">
        <v>1904</v>
      </c>
      <c r="R650" s="19" t="s">
        <v>2847</v>
      </c>
      <c r="S650" s="19" t="s">
        <v>2848</v>
      </c>
      <c r="T650" s="19" t="s">
        <v>54</v>
      </c>
      <c r="U650" s="19" t="s">
        <v>121</v>
      </c>
      <c r="V650" s="19" t="s">
        <v>56</v>
      </c>
      <c r="W650" s="19" t="s">
        <v>122</v>
      </c>
      <c r="X650" s="19" t="s">
        <v>58</v>
      </c>
      <c r="Y650" s="19"/>
      <c r="Z650" s="19" t="s">
        <v>2849</v>
      </c>
      <c r="AA650" s="19">
        <v>1</v>
      </c>
      <c r="AB650" s="19">
        <v>1</v>
      </c>
      <c r="AC650" s="19" t="s">
        <v>60</v>
      </c>
      <c r="AD650" s="19" t="s">
        <v>635</v>
      </c>
      <c r="AE650" s="19" t="s">
        <v>1139</v>
      </c>
      <c r="AF650" s="19" t="s">
        <v>2850</v>
      </c>
    </row>
    <row r="651" spans="1:34">
      <c r="A651" s="19">
        <v>641</v>
      </c>
      <c r="B651" s="19" t="s">
        <v>1123</v>
      </c>
      <c r="C651" s="19" t="s">
        <v>40</v>
      </c>
      <c r="D651" s="19" t="str">
        <f>HYPERLINK("http://www.henontech.com/fieldsafety/harzard/harzard_show.php?rid=15531&amp;url=harzardrecs.php","3#站清水池西侧一电缆桥架盖板脱落，如果一名操作人员在巡检过程中经过被掉落的盖板砸中背部，造成背部擦伤，休息一会后不影响工作。")</f>
        <v>3#站清水池西侧一电缆桥架盖板脱落，如果一名操作人员在巡检过程中经过被掉落的盖板砸中背部，造成背部擦伤，休息一会后不影响工作。</v>
      </c>
      <c r="E651" s="19" t="s">
        <v>2851</v>
      </c>
      <c r="F651" s="20" t="s">
        <v>42</v>
      </c>
      <c r="G651" s="21" t="s">
        <v>43</v>
      </c>
      <c r="H651" s="19" t="s">
        <v>44</v>
      </c>
      <c r="I651" s="19" t="s">
        <v>45</v>
      </c>
      <c r="J651" s="19" t="s">
        <v>46</v>
      </c>
      <c r="K651" s="19" t="s">
        <v>69</v>
      </c>
      <c r="L651" s="19" t="s">
        <v>48</v>
      </c>
      <c r="M651" s="19" t="s">
        <v>49</v>
      </c>
      <c r="N651" s="19" t="s">
        <v>1025</v>
      </c>
      <c r="O651" s="19" t="s">
        <v>49</v>
      </c>
      <c r="P651" s="19" t="s">
        <v>523</v>
      </c>
      <c r="Q651" s="19" t="s">
        <v>1904</v>
      </c>
      <c r="R651" s="19" t="s">
        <v>2852</v>
      </c>
      <c r="S651" s="19"/>
      <c r="T651" s="19" t="s">
        <v>54</v>
      </c>
      <c r="U651" s="19" t="s">
        <v>75</v>
      </c>
      <c r="V651" s="19" t="s">
        <v>56</v>
      </c>
      <c r="W651" s="19" t="s">
        <v>138</v>
      </c>
      <c r="X651" s="19" t="s">
        <v>713</v>
      </c>
      <c r="Y651" s="19" t="s">
        <v>713</v>
      </c>
      <c r="Z651" s="19" t="s">
        <v>2606</v>
      </c>
      <c r="AA651" s="19">
        <v>1</v>
      </c>
      <c r="AB651" s="19">
        <v>1</v>
      </c>
      <c r="AC651" s="19" t="s">
        <v>60</v>
      </c>
      <c r="AD651" s="19" t="s">
        <v>523</v>
      </c>
      <c r="AE651" s="19" t="s">
        <v>1123</v>
      </c>
      <c r="AF651" s="19"/>
    </row>
    <row r="652" spans="1:34">
      <c r="A652" s="19">
        <v>642</v>
      </c>
      <c r="B652" s="19" t="s">
        <v>1123</v>
      </c>
      <c r="C652" s="19" t="s">
        <v>1063</v>
      </c>
      <c r="D652" s="19" t="str">
        <f>HYPERLINK("http://www.henontech.com/fieldsafety/harzard/harzard_show.php?rid=15550&amp;url=harzardrecs.php","南冷凝澄清槽机头底部腐蚀严重，如果发现不及时会从此处泄露出氨水，造成地面大面积污染。")</f>
        <v>南冷凝澄清槽机头底部腐蚀严重，如果发现不及时会从此处泄露出氨水，造成地面大面积污染。</v>
      </c>
      <c r="E652" s="19" t="s">
        <v>2853</v>
      </c>
      <c r="F652" s="20" t="s">
        <v>42</v>
      </c>
      <c r="G652" s="21" t="s">
        <v>43</v>
      </c>
      <c r="H652" s="19" t="s">
        <v>44</v>
      </c>
      <c r="I652" s="19" t="s">
        <v>45</v>
      </c>
      <c r="J652" s="19" t="s">
        <v>46</v>
      </c>
      <c r="K652" s="19" t="s">
        <v>69</v>
      </c>
      <c r="L652" s="19" t="s">
        <v>48</v>
      </c>
      <c r="M652" s="19" t="s">
        <v>70</v>
      </c>
      <c r="N652" s="19" t="s">
        <v>2854</v>
      </c>
      <c r="O652" s="19" t="s">
        <v>70</v>
      </c>
      <c r="P652" s="19" t="s">
        <v>72</v>
      </c>
      <c r="Q652" s="19" t="s">
        <v>1322</v>
      </c>
      <c r="R652" s="19" t="s">
        <v>2855</v>
      </c>
      <c r="S652" s="19"/>
      <c r="T652" s="19" t="s">
        <v>270</v>
      </c>
      <c r="U652" s="19" t="s">
        <v>192</v>
      </c>
      <c r="V652" s="19" t="s">
        <v>101</v>
      </c>
      <c r="W652" s="19" t="s">
        <v>77</v>
      </c>
      <c r="X652" s="19"/>
      <c r="Y652" s="19"/>
      <c r="Z652" s="19" t="s">
        <v>2856</v>
      </c>
      <c r="AA652" s="19">
        <v>1</v>
      </c>
      <c r="AB652" s="19">
        <v>1</v>
      </c>
      <c r="AC652" s="19" t="s">
        <v>60</v>
      </c>
      <c r="AD652" s="19" t="s">
        <v>72</v>
      </c>
      <c r="AE652" s="19" t="s">
        <v>1202</v>
      </c>
      <c r="AF652" s="19"/>
    </row>
    <row r="653" spans="1:34">
      <c r="A653" s="19">
        <v>643</v>
      </c>
      <c r="B653" s="19" t="s">
        <v>1139</v>
      </c>
      <c r="C653" s="19" t="s">
        <v>2569</v>
      </c>
      <c r="D653" s="19" t="str">
        <f>HYPERLINK("http://www.henontech.com/fieldsafety/harzard/harzard_show.php?rid=15556&amp;url=harzardrecs.php","新化学水加药间加药罐排药管由于没接到地沟，碱洗设备后排到地面地滑摔倒造成膝盖灼伤")</f>
        <v>新化学水加药间加药罐排药管由于没接到地沟，碱洗设备后排到地面地滑摔倒造成膝盖灼伤</v>
      </c>
      <c r="E653" s="19" t="s">
        <v>2857</v>
      </c>
      <c r="F653" s="24" t="s">
        <v>387</v>
      </c>
      <c r="G653" s="21" t="s">
        <v>43</v>
      </c>
      <c r="H653" s="19" t="s">
        <v>875</v>
      </c>
      <c r="I653" s="19" t="s">
        <v>67</v>
      </c>
      <c r="J653" s="19" t="s">
        <v>1998</v>
      </c>
      <c r="K653" s="19" t="s">
        <v>145</v>
      </c>
      <c r="L653" s="19" t="s">
        <v>48</v>
      </c>
      <c r="M653" s="19" t="s">
        <v>84</v>
      </c>
      <c r="N653" s="19" t="s">
        <v>2858</v>
      </c>
      <c r="O653" s="19"/>
      <c r="P653" s="19"/>
      <c r="Q653" s="19"/>
      <c r="R653" s="19" t="s">
        <v>2859</v>
      </c>
      <c r="S653" s="19" t="s">
        <v>2860</v>
      </c>
      <c r="T653" s="19" t="s">
        <v>54</v>
      </c>
      <c r="U653" s="19" t="s">
        <v>75</v>
      </c>
      <c r="V653" s="19" t="s">
        <v>101</v>
      </c>
      <c r="W653" s="19" t="s">
        <v>77</v>
      </c>
      <c r="X653" s="19"/>
      <c r="Y653" s="19"/>
      <c r="Z653" s="19"/>
      <c r="AA653" s="19">
        <v>0</v>
      </c>
      <c r="AB653" s="19"/>
      <c r="AC653" s="19" t="s">
        <v>392</v>
      </c>
      <c r="AD653" s="19"/>
      <c r="AE653" s="19"/>
      <c r="AF653" s="19"/>
    </row>
    <row r="654" spans="1:34">
      <c r="A654" s="19">
        <v>644</v>
      </c>
      <c r="B654" s="19" t="s">
        <v>1139</v>
      </c>
      <c r="C654" s="19" t="s">
        <v>2058</v>
      </c>
      <c r="D654" s="19" t="str">
        <f>HYPERLINK("http://www.henontech.com/fieldsafety/harzard/harzard_show.php?rid=15564&amp;url=harzardrecs.php","拆卸后的护栏放置不当，操作工巡检时，不慎被护栏绊倒，脚踝扭伤，送医治疗。")</f>
        <v>拆卸后的护栏放置不当，操作工巡检时，不慎被护栏绊倒，脚踝扭伤，送医治疗。</v>
      </c>
      <c r="E654" s="19" t="s">
        <v>2861</v>
      </c>
      <c r="F654" s="20" t="s">
        <v>42</v>
      </c>
      <c r="G654" s="21" t="s">
        <v>43</v>
      </c>
      <c r="H654" s="19" t="s">
        <v>44</v>
      </c>
      <c r="I654" s="19" t="s">
        <v>45</v>
      </c>
      <c r="J654" s="19" t="s">
        <v>178</v>
      </c>
      <c r="K654" s="19" t="s">
        <v>69</v>
      </c>
      <c r="L654" s="19" t="s">
        <v>48</v>
      </c>
      <c r="M654" s="19" t="s">
        <v>70</v>
      </c>
      <c r="N654" s="19" t="s">
        <v>2862</v>
      </c>
      <c r="O654" s="19" t="s">
        <v>70</v>
      </c>
      <c r="P654" s="19" t="s">
        <v>72</v>
      </c>
      <c r="Q654" s="19" t="s">
        <v>1322</v>
      </c>
      <c r="R654" s="19" t="s">
        <v>2863</v>
      </c>
      <c r="S654" s="19"/>
      <c r="T654" s="19" t="s">
        <v>54</v>
      </c>
      <c r="U654" s="19" t="s">
        <v>55</v>
      </c>
      <c r="V654" s="19" t="s">
        <v>56</v>
      </c>
      <c r="W654" s="19" t="s">
        <v>57</v>
      </c>
      <c r="X654" s="19"/>
      <c r="Y654" s="19"/>
      <c r="Z654" s="19" t="s">
        <v>2864</v>
      </c>
      <c r="AA654" s="19">
        <v>1</v>
      </c>
      <c r="AB654" s="19">
        <v>1</v>
      </c>
      <c r="AC654" s="19" t="s">
        <v>60</v>
      </c>
      <c r="AD654" s="19" t="s">
        <v>72</v>
      </c>
      <c r="AE654" s="19" t="s">
        <v>1074</v>
      </c>
      <c r="AF654" s="19"/>
    </row>
    <row r="655" spans="1:34" customHeight="1" ht="42">
      <c r="A655" s="19">
        <v>645</v>
      </c>
      <c r="B655" s="19" t="s">
        <v>1139</v>
      </c>
      <c r="C655" s="19" t="s">
        <v>1925</v>
      </c>
      <c r="D655" s="19" t="str">
        <f>HYPERLINK("http://www.henontech.com/fieldsafety/harzard/harzard_show.php?rid=15566&amp;url=harzardrecs.php","水沟盖板断裂，一员工经过时不小心掉入水沟，造成腿部轻微受伤，送医务室进行简单包扎处理继续回岗工作。")</f>
        <v>水沟盖板断裂，一员工经过时不小心掉入水沟，造成腿部轻微受伤，送医务室进行简单包扎处理继续回岗工作。</v>
      </c>
      <c r="E655" s="19" t="s">
        <v>2865</v>
      </c>
      <c r="F655" s="20" t="s">
        <v>42</v>
      </c>
      <c r="G655" s="21" t="s">
        <v>43</v>
      </c>
      <c r="H655" s="19" t="s">
        <v>44</v>
      </c>
      <c r="I655" s="19" t="s">
        <v>67</v>
      </c>
      <c r="J655" s="19" t="s">
        <v>46</v>
      </c>
      <c r="K655" s="19" t="s">
        <v>69</v>
      </c>
      <c r="L655" s="19" t="s">
        <v>48</v>
      </c>
      <c r="M655" s="19" t="s">
        <v>285</v>
      </c>
      <c r="N655" s="19" t="s">
        <v>2866</v>
      </c>
      <c r="O655" s="19" t="s">
        <v>285</v>
      </c>
      <c r="P655" s="19" t="s">
        <v>617</v>
      </c>
      <c r="Q655" s="19" t="s">
        <v>1322</v>
      </c>
      <c r="R655" s="19" t="s">
        <v>2867</v>
      </c>
      <c r="S655" s="19"/>
      <c r="T655" s="19" t="s">
        <v>54</v>
      </c>
      <c r="U655" s="19" t="s">
        <v>192</v>
      </c>
      <c r="V655" s="19" t="s">
        <v>271</v>
      </c>
      <c r="W655" s="19" t="s">
        <v>77</v>
      </c>
      <c r="X655" s="19" t="s">
        <v>235</v>
      </c>
      <c r="Y655" s="19" t="s">
        <v>235</v>
      </c>
      <c r="Z655" s="19" t="s">
        <v>2868</v>
      </c>
      <c r="AA655" s="19">
        <v>2</v>
      </c>
      <c r="AB655" s="19">
        <v>2</v>
      </c>
      <c r="AC655" s="19" t="s">
        <v>60</v>
      </c>
      <c r="AD655" s="19" t="s">
        <v>617</v>
      </c>
      <c r="AE655" s="19" t="s">
        <v>1139</v>
      </c>
      <c r="AF655" s="19"/>
    </row>
    <row r="656" spans="1:34" customHeight="1" ht="42">
      <c r="A656" s="19">
        <v>646</v>
      </c>
      <c r="B656" s="19" t="s">
        <v>1139</v>
      </c>
      <c r="C656" s="19" t="s">
        <v>801</v>
      </c>
      <c r="D656" s="19" t="str">
        <f>HYPERLINK("http://www.henontech.com/fieldsafety/harzard/harzard_show.php?rid=15567&amp;url=harzardrecs.php","新化学水加药间浓水排污管线盖板缺失")</f>
        <v>新化学水加药间浓水排污管线盖板缺失</v>
      </c>
      <c r="E656" s="19" t="s">
        <v>2869</v>
      </c>
      <c r="F656" s="25" t="s">
        <v>1853</v>
      </c>
      <c r="G656" s="21" t="s">
        <v>43</v>
      </c>
      <c r="H656" s="19" t="s">
        <v>875</v>
      </c>
      <c r="I656" s="19" t="s">
        <v>83</v>
      </c>
      <c r="J656" s="19" t="s">
        <v>46</v>
      </c>
      <c r="K656" s="19" t="s">
        <v>145</v>
      </c>
      <c r="L656" s="19" t="s">
        <v>48</v>
      </c>
      <c r="M656" s="19" t="s">
        <v>84</v>
      </c>
      <c r="N656" s="19" t="s">
        <v>2870</v>
      </c>
      <c r="O656" s="19" t="s">
        <v>84</v>
      </c>
      <c r="P656" s="19" t="s">
        <v>85</v>
      </c>
      <c r="Q656" s="19" t="s">
        <v>1409</v>
      </c>
      <c r="R656" s="19" t="s">
        <v>2859</v>
      </c>
      <c r="S656" s="19"/>
      <c r="T656" s="19" t="s">
        <v>54</v>
      </c>
      <c r="U656" s="19" t="s">
        <v>55</v>
      </c>
      <c r="V656" s="19" t="s">
        <v>56</v>
      </c>
      <c r="W656" s="19" t="s">
        <v>57</v>
      </c>
      <c r="X656" s="19" t="s">
        <v>58</v>
      </c>
      <c r="Y656" s="19"/>
      <c r="Z656" s="19" t="s">
        <v>2871</v>
      </c>
      <c r="AA656" s="19">
        <v>2</v>
      </c>
      <c r="AB656" s="19"/>
      <c r="AC656" s="19" t="s">
        <v>392</v>
      </c>
      <c r="AD656" s="19"/>
      <c r="AE656" s="19"/>
      <c r="AF656" s="19"/>
    </row>
    <row r="657" spans="1:34">
      <c r="A657" s="19">
        <v>647</v>
      </c>
      <c r="B657" s="19" t="s">
        <v>1139</v>
      </c>
      <c r="C657" s="19" t="s">
        <v>1262</v>
      </c>
      <c r="D657" s="19" t="str">
        <f>HYPERLINK("http://www.henontech.com/fieldsafety/harzard/harzard_show.php?rid=15625&amp;url=harzardrecs.php","化产车间粗苯贫油槽处无警示牌，如果一名操作工攀登时，不慎摔落，腿部受伤，经送医诊断，腿部骨折。")</f>
        <v>化产车间粗苯贫油槽处无警示牌，如果一名操作工攀登时，不慎摔落，腿部受伤，经送医诊断，腿部骨折。</v>
      </c>
      <c r="E657" s="19" t="s">
        <v>2872</v>
      </c>
      <c r="F657" s="20" t="s">
        <v>42</v>
      </c>
      <c r="G657" s="21" t="s">
        <v>43</v>
      </c>
      <c r="H657" s="19" t="s">
        <v>44</v>
      </c>
      <c r="I657" s="19" t="s">
        <v>45</v>
      </c>
      <c r="J657" s="19" t="s">
        <v>178</v>
      </c>
      <c r="K657" s="19" t="s">
        <v>69</v>
      </c>
      <c r="L657" s="19" t="s">
        <v>48</v>
      </c>
      <c r="M657" s="19" t="s">
        <v>70</v>
      </c>
      <c r="N657" s="19" t="s">
        <v>261</v>
      </c>
      <c r="O657" s="19" t="s">
        <v>70</v>
      </c>
      <c r="P657" s="19" t="s">
        <v>72</v>
      </c>
      <c r="Q657" s="19" t="s">
        <v>1322</v>
      </c>
      <c r="R657" s="19" t="s">
        <v>2873</v>
      </c>
      <c r="S657" s="19"/>
      <c r="T657" s="19" t="s">
        <v>54</v>
      </c>
      <c r="U657" s="19" t="s">
        <v>55</v>
      </c>
      <c r="V657" s="19" t="s">
        <v>101</v>
      </c>
      <c r="W657" s="19" t="s">
        <v>138</v>
      </c>
      <c r="X657" s="19"/>
      <c r="Y657" s="19"/>
      <c r="Z657" s="19" t="s">
        <v>2874</v>
      </c>
      <c r="AA657" s="19">
        <v>1</v>
      </c>
      <c r="AB657" s="19">
        <v>1</v>
      </c>
      <c r="AC657" s="19" t="s">
        <v>60</v>
      </c>
      <c r="AD657" s="19" t="s">
        <v>72</v>
      </c>
      <c r="AE657" s="19" t="s">
        <v>1202</v>
      </c>
      <c r="AF657" s="19"/>
    </row>
    <row r="658" spans="1:34">
      <c r="A658" s="19">
        <v>648</v>
      </c>
      <c r="B658" s="19" t="s">
        <v>1139</v>
      </c>
      <c r="C658" s="19" t="s">
        <v>1639</v>
      </c>
      <c r="D658" s="19" t="str">
        <f>HYPERLINK("http://www.henontech.com/fieldsafety/harzard/harzard_show.php?rid=15647&amp;url=harzardrecs.php","两盐搅拌罐底部出料阀门腐蚀严重，在出料时会向外喷高温脱硫液，一名操作工在夜间操作时如果没有发现此处漏点有可能会被喷溅出的高温脱硫液烫伤面部，造成面部红肿起水泡，损工3天。")</f>
        <v>两盐搅拌罐底部出料阀门腐蚀严重，在出料时会向外喷高温脱硫液，一名操作工在夜间操作时如果没有发现此处漏点有可能会被喷溅出的高温脱硫液烫伤面部，造成面部红肿起水泡，损工3天。</v>
      </c>
      <c r="E658" s="19" t="s">
        <v>2875</v>
      </c>
      <c r="F658" s="20" t="s">
        <v>42</v>
      </c>
      <c r="G658" s="21" t="s">
        <v>43</v>
      </c>
      <c r="H658" s="19" t="s">
        <v>44</v>
      </c>
      <c r="I658" s="19" t="s">
        <v>45</v>
      </c>
      <c r="J658" s="19" t="s">
        <v>46</v>
      </c>
      <c r="K658" s="19" t="s">
        <v>47</v>
      </c>
      <c r="L658" s="19" t="s">
        <v>48</v>
      </c>
      <c r="M658" s="19" t="s">
        <v>70</v>
      </c>
      <c r="N658" s="19" t="s">
        <v>2876</v>
      </c>
      <c r="O658" s="19" t="s">
        <v>70</v>
      </c>
      <c r="P658" s="19" t="s">
        <v>72</v>
      </c>
      <c r="Q658" s="19" t="s">
        <v>1322</v>
      </c>
      <c r="R658" s="19" t="s">
        <v>2877</v>
      </c>
      <c r="S658" s="19"/>
      <c r="T658" s="19" t="s">
        <v>54</v>
      </c>
      <c r="U658" s="19" t="s">
        <v>55</v>
      </c>
      <c r="V658" s="19" t="s">
        <v>101</v>
      </c>
      <c r="W658" s="19" t="s">
        <v>138</v>
      </c>
      <c r="X658" s="19"/>
      <c r="Y658" s="19"/>
      <c r="Z658" s="19" t="s">
        <v>2878</v>
      </c>
      <c r="AA658" s="19">
        <v>1</v>
      </c>
      <c r="AB658" s="19">
        <v>1</v>
      </c>
      <c r="AC658" s="19" t="s">
        <v>60</v>
      </c>
      <c r="AD658" s="19" t="s">
        <v>72</v>
      </c>
      <c r="AE658" s="19" t="s">
        <v>1074</v>
      </c>
      <c r="AF658" s="19"/>
    </row>
    <row r="659" spans="1:34">
      <c r="A659" s="19">
        <v>649</v>
      </c>
      <c r="B659" s="19" t="s">
        <v>1139</v>
      </c>
      <c r="C659" s="19" t="s">
        <v>2082</v>
      </c>
      <c r="D659" s="19" t="str">
        <f>HYPERLINK("http://www.henontech.com/fieldsafety/harzard/harzard_show.php?rid=15663&amp;url=harzardrecs.php","75t锅炉主控室地板破裂，可能导致操作工右脚扭伤，送医院就医，在家休养七天，损工七天")</f>
        <v>75t锅炉主控室地板破裂，可能导致操作工右脚扭伤，送医院就医，在家休养七天，损工七天</v>
      </c>
      <c r="E659" s="19" t="s">
        <v>2301</v>
      </c>
      <c r="F659" s="24" t="s">
        <v>387</v>
      </c>
      <c r="G659" s="21" t="s">
        <v>43</v>
      </c>
      <c r="H659" s="19" t="s">
        <v>44</v>
      </c>
      <c r="I659" s="19" t="s">
        <v>83</v>
      </c>
      <c r="J659" s="19" t="s">
        <v>46</v>
      </c>
      <c r="K659" s="19" t="s">
        <v>145</v>
      </c>
      <c r="L659" s="19" t="s">
        <v>48</v>
      </c>
      <c r="M659" s="19" t="s">
        <v>84</v>
      </c>
      <c r="N659" s="19" t="s">
        <v>2302</v>
      </c>
      <c r="O659" s="19"/>
      <c r="P659" s="19"/>
      <c r="Q659" s="19"/>
      <c r="R659" s="19" t="s">
        <v>983</v>
      </c>
      <c r="S659" s="19" t="s">
        <v>2879</v>
      </c>
      <c r="T659" s="19" t="s">
        <v>54</v>
      </c>
      <c r="U659" s="19" t="s">
        <v>55</v>
      </c>
      <c r="V659" s="19" t="s">
        <v>101</v>
      </c>
      <c r="W659" s="19" t="s">
        <v>138</v>
      </c>
      <c r="X659" s="19"/>
      <c r="Y659" s="19"/>
      <c r="Z659" s="19"/>
      <c r="AA659" s="19">
        <v>0</v>
      </c>
      <c r="AB659" s="19"/>
      <c r="AC659" s="19" t="s">
        <v>392</v>
      </c>
      <c r="AD659" s="19"/>
      <c r="AE659" s="19"/>
      <c r="AF659" s="19"/>
    </row>
    <row r="660" spans="1:34" customHeight="1" ht="42">
      <c r="A660" s="19">
        <v>650</v>
      </c>
      <c r="B660" s="19" t="s">
        <v>1139</v>
      </c>
      <c r="C660" s="19" t="s">
        <v>2880</v>
      </c>
      <c r="D660" s="19" t="str">
        <f>HYPERLINK("http://www.henontech.com/fieldsafety/harzard/harzard_show.php?rid=15665&amp;url=harzardrecs.php","电动葫芦电源线破损露线，一操作工操作时触电")</f>
        <v>电动葫芦电源线破损露线，一操作工操作时触电</v>
      </c>
      <c r="E660" s="19" t="s">
        <v>2881</v>
      </c>
      <c r="F660" s="25" t="s">
        <v>1853</v>
      </c>
      <c r="G660" s="21" t="s">
        <v>43</v>
      </c>
      <c r="H660" s="19" t="s">
        <v>44</v>
      </c>
      <c r="I660" s="19" t="s">
        <v>437</v>
      </c>
      <c r="J660" s="19" t="s">
        <v>68</v>
      </c>
      <c r="K660" s="19" t="s">
        <v>69</v>
      </c>
      <c r="L660" s="19" t="s">
        <v>48</v>
      </c>
      <c r="M660" s="19" t="s">
        <v>84</v>
      </c>
      <c r="N660" s="19" t="s">
        <v>809</v>
      </c>
      <c r="O660" s="19" t="s">
        <v>84</v>
      </c>
      <c r="P660" s="19" t="s">
        <v>809</v>
      </c>
      <c r="Q660" s="19" t="s">
        <v>2132</v>
      </c>
      <c r="R660" s="19" t="s">
        <v>2882</v>
      </c>
      <c r="S660" s="19"/>
      <c r="T660" s="19" t="s">
        <v>54</v>
      </c>
      <c r="U660" s="19" t="s">
        <v>75</v>
      </c>
      <c r="V660" s="19" t="s">
        <v>101</v>
      </c>
      <c r="W660" s="19" t="s">
        <v>77</v>
      </c>
      <c r="X660" s="19" t="s">
        <v>58</v>
      </c>
      <c r="Y660" s="19"/>
      <c r="Z660" s="19" t="s">
        <v>2883</v>
      </c>
      <c r="AA660" s="19">
        <v>2</v>
      </c>
      <c r="AB660" s="19"/>
      <c r="AC660" s="19" t="s">
        <v>392</v>
      </c>
      <c r="AD660" s="19"/>
      <c r="AE660" s="19"/>
      <c r="AF660" s="19"/>
    </row>
    <row r="661" spans="1:34">
      <c r="A661" s="19">
        <v>651</v>
      </c>
      <c r="B661" s="19" t="s">
        <v>1139</v>
      </c>
      <c r="C661" s="19" t="s">
        <v>1262</v>
      </c>
      <c r="D661" s="19" t="str">
        <f>HYPERLINK("http://www.henontech.com/fieldsafety/harzard/harzard_show.php?rid=15666&amp;url=harzardrecs.php","粗苯南管式炉处的33#煤气水封阀门盘根漏水，如果不及时处理，有可能会因为煤气冷凝液泄漏而污染环境造成环保事故。")</f>
        <v>粗苯南管式炉处的33#煤气水封阀门盘根漏水，如果不及时处理，有可能会因为煤气冷凝液泄漏而污染环境造成环保事故。</v>
      </c>
      <c r="E661" s="19" t="s">
        <v>2884</v>
      </c>
      <c r="F661" s="20" t="s">
        <v>42</v>
      </c>
      <c r="G661" s="21" t="s">
        <v>43</v>
      </c>
      <c r="H661" s="19" t="s">
        <v>44</v>
      </c>
      <c r="I661" s="19" t="s">
        <v>67</v>
      </c>
      <c r="J661" s="19" t="s">
        <v>46</v>
      </c>
      <c r="K661" s="19" t="s">
        <v>47</v>
      </c>
      <c r="L661" s="19" t="s">
        <v>48</v>
      </c>
      <c r="M661" s="19" t="s">
        <v>70</v>
      </c>
      <c r="N661" s="19" t="s">
        <v>884</v>
      </c>
      <c r="O661" s="19" t="s">
        <v>70</v>
      </c>
      <c r="P661" s="19" t="s">
        <v>72</v>
      </c>
      <c r="Q661" s="19" t="s">
        <v>1322</v>
      </c>
      <c r="R661" s="19" t="s">
        <v>2885</v>
      </c>
      <c r="S661" s="19"/>
      <c r="T661" s="19" t="s">
        <v>270</v>
      </c>
      <c r="U661" s="19" t="s">
        <v>192</v>
      </c>
      <c r="V661" s="19" t="s">
        <v>101</v>
      </c>
      <c r="W661" s="19" t="s">
        <v>77</v>
      </c>
      <c r="X661" s="19"/>
      <c r="Y661" s="19"/>
      <c r="Z661" s="19" t="s">
        <v>2886</v>
      </c>
      <c r="AA661" s="19">
        <v>1</v>
      </c>
      <c r="AB661" s="19">
        <v>1</v>
      </c>
      <c r="AC661" s="19" t="s">
        <v>60</v>
      </c>
      <c r="AD661" s="19" t="s">
        <v>72</v>
      </c>
      <c r="AE661" s="19" t="s">
        <v>1074</v>
      </c>
      <c r="AF661" s="19"/>
    </row>
    <row r="662" spans="1:34" customHeight="1" ht="42">
      <c r="A662" s="19">
        <v>652</v>
      </c>
      <c r="B662" s="19" t="s">
        <v>1139</v>
      </c>
      <c r="C662" s="19" t="s">
        <v>2823</v>
      </c>
      <c r="D662" s="19" t="str">
        <f>HYPERLINK("http://www.henontech.com/fieldsafety/harzard/harzard_show.php?rid=15672&amp;url=harzardrecs.php","脱硫地沟盖板损坏，夜间1人在巡检时右脚不小心采在损坏的盖板上，右脚陷入地沟被盖板划伤。到医院包扎损工半天。")</f>
        <v>脱硫地沟盖板损坏，夜间1人在巡检时右脚不小心采在损坏的盖板上，右脚陷入地沟被盖板划伤。到医院包扎损工半天。</v>
      </c>
      <c r="E662" s="19" t="s">
        <v>2887</v>
      </c>
      <c r="F662" s="25" t="s">
        <v>1853</v>
      </c>
      <c r="G662" s="21" t="s">
        <v>43</v>
      </c>
      <c r="H662" s="19" t="s">
        <v>44</v>
      </c>
      <c r="I662" s="19" t="s">
        <v>45</v>
      </c>
      <c r="J662" s="19" t="s">
        <v>46</v>
      </c>
      <c r="K662" s="19" t="s">
        <v>69</v>
      </c>
      <c r="L662" s="19"/>
      <c r="M662" s="19" t="s">
        <v>84</v>
      </c>
      <c r="N662" s="19" t="s">
        <v>888</v>
      </c>
      <c r="O662" s="19" t="s">
        <v>84</v>
      </c>
      <c r="P662" s="19" t="s">
        <v>85</v>
      </c>
      <c r="Q662" s="19" t="s">
        <v>2132</v>
      </c>
      <c r="R662" s="19" t="s">
        <v>587</v>
      </c>
      <c r="S662" s="19"/>
      <c r="T662" s="19" t="s">
        <v>54</v>
      </c>
      <c r="U662" s="19" t="s">
        <v>75</v>
      </c>
      <c r="V662" s="19" t="s">
        <v>101</v>
      </c>
      <c r="W662" s="19" t="s">
        <v>77</v>
      </c>
      <c r="X662" s="19" t="s">
        <v>58</v>
      </c>
      <c r="Y662" s="19"/>
      <c r="Z662" s="19" t="s">
        <v>2888</v>
      </c>
      <c r="AA662" s="19">
        <v>2</v>
      </c>
      <c r="AB662" s="19"/>
      <c r="AC662" s="19" t="s">
        <v>392</v>
      </c>
      <c r="AD662" s="19"/>
      <c r="AE662" s="19"/>
      <c r="AF662" s="19"/>
    </row>
    <row r="663" spans="1:34" customHeight="1" ht="42">
      <c r="A663" s="19">
        <v>653</v>
      </c>
      <c r="B663" s="19" t="s">
        <v>1139</v>
      </c>
      <c r="C663" s="19" t="s">
        <v>1925</v>
      </c>
      <c r="D663" s="19" t="str">
        <f>HYPERLINK("http://www.henontech.com/fieldsafety/harzard/harzard_show.php?rid=15673&amp;url=harzardrecs.php","东一皮带托辊损坏，开车时容易划伤皮带造成财产损失。")</f>
        <v>东一皮带托辊损坏，开车时容易划伤皮带造成财产损失。</v>
      </c>
      <c r="E663" s="19" t="s">
        <v>2889</v>
      </c>
      <c r="F663" s="20" t="s">
        <v>42</v>
      </c>
      <c r="G663" s="21" t="s">
        <v>43</v>
      </c>
      <c r="H663" s="19" t="s">
        <v>44</v>
      </c>
      <c r="I663" s="19" t="s">
        <v>67</v>
      </c>
      <c r="J663" s="19" t="s">
        <v>46</v>
      </c>
      <c r="K663" s="19"/>
      <c r="L663" s="19" t="s">
        <v>48</v>
      </c>
      <c r="M663" s="19" t="s">
        <v>285</v>
      </c>
      <c r="N663" s="19" t="s">
        <v>2890</v>
      </c>
      <c r="O663" s="19" t="s">
        <v>285</v>
      </c>
      <c r="P663" s="19" t="s">
        <v>617</v>
      </c>
      <c r="Q663" s="19" t="s">
        <v>1322</v>
      </c>
      <c r="R663" s="19" t="s">
        <v>2322</v>
      </c>
      <c r="S663" s="19"/>
      <c r="T663" s="19" t="s">
        <v>100</v>
      </c>
      <c r="U663" s="19" t="s">
        <v>192</v>
      </c>
      <c r="V663" s="19" t="s">
        <v>76</v>
      </c>
      <c r="W663" s="19" t="s">
        <v>77</v>
      </c>
      <c r="X663" s="19" t="s">
        <v>235</v>
      </c>
      <c r="Y663" s="19" t="s">
        <v>235</v>
      </c>
      <c r="Z663" s="19" t="s">
        <v>2891</v>
      </c>
      <c r="AA663" s="19">
        <v>2</v>
      </c>
      <c r="AB663" s="19">
        <v>2</v>
      </c>
      <c r="AC663" s="19" t="s">
        <v>60</v>
      </c>
      <c r="AD663" s="19" t="s">
        <v>617</v>
      </c>
      <c r="AE663" s="19" t="s">
        <v>1139</v>
      </c>
      <c r="AF663" s="19"/>
    </row>
    <row r="664" spans="1:34" customHeight="1" ht="42">
      <c r="A664" s="19">
        <v>654</v>
      </c>
      <c r="B664" s="19" t="s">
        <v>1139</v>
      </c>
      <c r="C664" s="19" t="s">
        <v>380</v>
      </c>
      <c r="D664" s="19" t="str">
        <f>HYPERLINK("http://www.henontech.com/fieldsafety/harzard/harzard_show.php?rid=15688&amp;url=harzardrecs.php","煤十电机与滚筒之间的梅花垫老化损坏，一旦开机容易造成设备损坏，负荷停带。")</f>
        <v>煤十电机与滚筒之间的梅花垫老化损坏，一旦开机容易造成设备损坏，负荷停带。</v>
      </c>
      <c r="E664" s="19" t="s">
        <v>2892</v>
      </c>
      <c r="F664" s="20" t="s">
        <v>42</v>
      </c>
      <c r="G664" s="22" t="s">
        <v>66</v>
      </c>
      <c r="H664" s="19" t="s">
        <v>44</v>
      </c>
      <c r="I664" s="19" t="s">
        <v>67</v>
      </c>
      <c r="J664" s="19" t="s">
        <v>46</v>
      </c>
      <c r="K664" s="19" t="s">
        <v>47</v>
      </c>
      <c r="L664" s="19" t="s">
        <v>48</v>
      </c>
      <c r="M664" s="19" t="s">
        <v>285</v>
      </c>
      <c r="N664" s="19" t="s">
        <v>1396</v>
      </c>
      <c r="O664" s="19" t="s">
        <v>285</v>
      </c>
      <c r="P664" s="19" t="s">
        <v>617</v>
      </c>
      <c r="Q664" s="19" t="s">
        <v>1132</v>
      </c>
      <c r="R664" s="19" t="s">
        <v>2744</v>
      </c>
      <c r="S664" s="19"/>
      <c r="T664" s="19" t="s">
        <v>100</v>
      </c>
      <c r="U664" s="19" t="s">
        <v>192</v>
      </c>
      <c r="V664" s="19" t="s">
        <v>101</v>
      </c>
      <c r="W664" s="19" t="s">
        <v>77</v>
      </c>
      <c r="X664" s="19" t="s">
        <v>235</v>
      </c>
      <c r="Y664" s="19" t="s">
        <v>235</v>
      </c>
      <c r="Z664" s="19" t="s">
        <v>2893</v>
      </c>
      <c r="AA664" s="19">
        <v>2</v>
      </c>
      <c r="AB664" s="19">
        <v>2</v>
      </c>
      <c r="AC664" s="19" t="s">
        <v>60</v>
      </c>
      <c r="AD664" s="19" t="s">
        <v>617</v>
      </c>
      <c r="AE664" s="19" t="s">
        <v>1132</v>
      </c>
      <c r="AF664" s="19"/>
    </row>
    <row r="665" spans="1:34" customHeight="1" ht="42">
      <c r="A665" s="19">
        <v>655</v>
      </c>
      <c r="B665" s="19" t="s">
        <v>1139</v>
      </c>
      <c r="C665" s="19" t="s">
        <v>2880</v>
      </c>
      <c r="D665" s="19" t="str">
        <f>HYPERLINK("http://www.henontech.com/fieldsafety/harzard/harzard_show.php?rid=15726&amp;url=harzardrecs.php","锅炉平台西接线盒无封堵，下雨时可能导致进水引起设备短路跳闸，造成不必要的损失")</f>
        <v>锅炉平台西接线盒无封堵，下雨时可能导致进水引起设备短路跳闸，造成不必要的损失</v>
      </c>
      <c r="E665" s="19" t="s">
        <v>2894</v>
      </c>
      <c r="F665" s="25" t="s">
        <v>1853</v>
      </c>
      <c r="G665" s="21" t="s">
        <v>43</v>
      </c>
      <c r="H665" s="19" t="s">
        <v>44</v>
      </c>
      <c r="I665" s="19" t="s">
        <v>83</v>
      </c>
      <c r="J665" s="19" t="s">
        <v>46</v>
      </c>
      <c r="K665" s="19" t="s">
        <v>69</v>
      </c>
      <c r="L665" s="19"/>
      <c r="M665" s="19" t="s">
        <v>84</v>
      </c>
      <c r="N665" s="19" t="s">
        <v>1436</v>
      </c>
      <c r="O665" s="19" t="s">
        <v>84</v>
      </c>
      <c r="P665" s="19" t="s">
        <v>809</v>
      </c>
      <c r="Q665" s="19" t="s">
        <v>2132</v>
      </c>
      <c r="R665" s="19" t="s">
        <v>2895</v>
      </c>
      <c r="S665" s="19"/>
      <c r="T665" s="19" t="s">
        <v>100</v>
      </c>
      <c r="U665" s="19" t="s">
        <v>192</v>
      </c>
      <c r="V665" s="19" t="s">
        <v>76</v>
      </c>
      <c r="W665" s="19" t="s">
        <v>77</v>
      </c>
      <c r="X665" s="19" t="s">
        <v>58</v>
      </c>
      <c r="Y665" s="19"/>
      <c r="Z665" s="19" t="s">
        <v>2896</v>
      </c>
      <c r="AA665" s="19">
        <v>2</v>
      </c>
      <c r="AB665" s="19"/>
      <c r="AC665" s="19" t="s">
        <v>392</v>
      </c>
      <c r="AD665" s="19"/>
      <c r="AE665" s="19"/>
      <c r="AF665" s="19"/>
    </row>
    <row r="666" spans="1:34" customHeight="1" ht="42">
      <c r="A666" s="19">
        <v>656</v>
      </c>
      <c r="B666" s="19" t="s">
        <v>1139</v>
      </c>
      <c r="C666" s="19" t="s">
        <v>284</v>
      </c>
      <c r="D666" s="19" t="str">
        <f>HYPERLINK("http://www.henontech.com/fieldsafety/harzard/harzard_show.php?rid=15766&amp;url=harzardrecs.php","西五皮带机下一托辊磨破，皮带运行当中容易造成皮带划伤")</f>
        <v>西五皮带机下一托辊磨破，皮带运行当中容易造成皮带划伤</v>
      </c>
      <c r="E666" s="19" t="s">
        <v>2370</v>
      </c>
      <c r="F666" s="20" t="s">
        <v>42</v>
      </c>
      <c r="G666" s="21" t="s">
        <v>43</v>
      </c>
      <c r="H666" s="19" t="s">
        <v>44</v>
      </c>
      <c r="I666" s="19" t="s">
        <v>45</v>
      </c>
      <c r="J666" s="19" t="s">
        <v>46</v>
      </c>
      <c r="K666" s="19"/>
      <c r="L666" s="19" t="s">
        <v>48</v>
      </c>
      <c r="M666" s="19" t="s">
        <v>285</v>
      </c>
      <c r="N666" s="19" t="s">
        <v>1231</v>
      </c>
      <c r="O666" s="19" t="s">
        <v>285</v>
      </c>
      <c r="P666" s="19" t="s">
        <v>617</v>
      </c>
      <c r="Q666" s="19" t="s">
        <v>1322</v>
      </c>
      <c r="R666" s="19" t="s">
        <v>2243</v>
      </c>
      <c r="S666" s="19"/>
      <c r="T666" s="19" t="s">
        <v>100</v>
      </c>
      <c r="U666" s="19" t="s">
        <v>75</v>
      </c>
      <c r="V666" s="19" t="s">
        <v>56</v>
      </c>
      <c r="W666" s="19" t="s">
        <v>138</v>
      </c>
      <c r="X666" s="19" t="s">
        <v>235</v>
      </c>
      <c r="Y666" s="19" t="s">
        <v>235</v>
      </c>
      <c r="Z666" s="19" t="s">
        <v>2897</v>
      </c>
      <c r="AA666" s="19">
        <v>2</v>
      </c>
      <c r="AB666" s="19">
        <v>2</v>
      </c>
      <c r="AC666" s="19" t="s">
        <v>60</v>
      </c>
      <c r="AD666" s="19" t="s">
        <v>617</v>
      </c>
      <c r="AE666" s="19" t="s">
        <v>1132</v>
      </c>
      <c r="AF666" s="19"/>
    </row>
    <row r="667" spans="1:34">
      <c r="A667" s="19">
        <v>657</v>
      </c>
      <c r="B667" s="19" t="s">
        <v>1132</v>
      </c>
      <c r="C667" s="19" t="s">
        <v>1118</v>
      </c>
      <c r="D667" s="19" t="str">
        <f>HYPERLINK("http://www.henontech.com/fieldsafety/harzard/harzard_show.php?rid=15796&amp;url=harzardrecs.php","干熄焦主控室防静电皮子破裂，操作工行走时打滑，造成右脚扭伤，送医救治，在家休养7天，损工7天")</f>
        <v>干熄焦主控室防静电皮子破裂，操作工行走时打滑，造成右脚扭伤，送医救治，在家休养7天，损工7天</v>
      </c>
      <c r="E667" s="19" t="s">
        <v>2898</v>
      </c>
      <c r="F667" s="20" t="s">
        <v>42</v>
      </c>
      <c r="G667" s="21" t="s">
        <v>43</v>
      </c>
      <c r="H667" s="19" t="s">
        <v>44</v>
      </c>
      <c r="I667" s="19" t="s">
        <v>83</v>
      </c>
      <c r="J667" s="19" t="s">
        <v>46</v>
      </c>
      <c r="K667" s="19" t="s">
        <v>145</v>
      </c>
      <c r="L667" s="19" t="s">
        <v>48</v>
      </c>
      <c r="M667" s="19" t="s">
        <v>117</v>
      </c>
      <c r="N667" s="19" t="s">
        <v>1172</v>
      </c>
      <c r="O667" s="19" t="s">
        <v>117</v>
      </c>
      <c r="P667" s="19" t="s">
        <v>224</v>
      </c>
      <c r="Q667" s="19" t="s">
        <v>2899</v>
      </c>
      <c r="R667" s="19" t="s">
        <v>983</v>
      </c>
      <c r="S667" s="19" t="s">
        <v>2900</v>
      </c>
      <c r="T667" s="19" t="s">
        <v>54</v>
      </c>
      <c r="U667" s="19" t="s">
        <v>55</v>
      </c>
      <c r="V667" s="19" t="s">
        <v>101</v>
      </c>
      <c r="W667" s="19" t="s">
        <v>138</v>
      </c>
      <c r="X667" s="19" t="s">
        <v>58</v>
      </c>
      <c r="Y667" s="19"/>
      <c r="Z667" s="19" t="s">
        <v>2901</v>
      </c>
      <c r="AA667" s="19">
        <v>1</v>
      </c>
      <c r="AB667" s="19">
        <v>1</v>
      </c>
      <c r="AC667" s="19" t="s">
        <v>60</v>
      </c>
      <c r="AD667" s="19" t="s">
        <v>224</v>
      </c>
      <c r="AE667" s="19" t="s">
        <v>2902</v>
      </c>
      <c r="AF667" s="19"/>
    </row>
    <row r="668" spans="1:34" customHeight="1" ht="42">
      <c r="A668" s="19">
        <v>658</v>
      </c>
      <c r="B668" s="19" t="s">
        <v>1132</v>
      </c>
      <c r="C668" s="19" t="s">
        <v>1925</v>
      </c>
      <c r="D668" s="19" t="str">
        <f>HYPERLINK("http://www.henontech.com/fieldsafety/harzard/harzard_show.php?rid=15855&amp;url=harzardrecs.php","煤厂水沟盖板损坏，夜间1人在巡检时右脚不小心采在损坏的盖板上，右脚陷入水沟被盖板划伤。到医院包扎损工半天")</f>
        <v>煤厂水沟盖板损坏，夜间1人在巡检时右脚不小心采在损坏的盖板上，右脚陷入水沟被盖板划伤。到医院包扎损工半天</v>
      </c>
      <c r="E668" s="19" t="s">
        <v>2903</v>
      </c>
      <c r="F668" s="20" t="s">
        <v>42</v>
      </c>
      <c r="G668" s="21" t="s">
        <v>43</v>
      </c>
      <c r="H668" s="19" t="s">
        <v>44</v>
      </c>
      <c r="I668" s="19" t="s">
        <v>67</v>
      </c>
      <c r="J668" s="19" t="s">
        <v>46</v>
      </c>
      <c r="K668" s="19" t="s">
        <v>47</v>
      </c>
      <c r="L668" s="19" t="s">
        <v>48</v>
      </c>
      <c r="M668" s="19" t="s">
        <v>285</v>
      </c>
      <c r="N668" s="19" t="s">
        <v>1469</v>
      </c>
      <c r="O668" s="19" t="s">
        <v>285</v>
      </c>
      <c r="P668" s="19" t="s">
        <v>617</v>
      </c>
      <c r="Q668" s="19" t="s">
        <v>1322</v>
      </c>
      <c r="R668" s="19" t="s">
        <v>2904</v>
      </c>
      <c r="S668" s="19"/>
      <c r="T668" s="19" t="s">
        <v>54</v>
      </c>
      <c r="U668" s="19" t="s">
        <v>75</v>
      </c>
      <c r="V668" s="19" t="s">
        <v>101</v>
      </c>
      <c r="W668" s="19" t="s">
        <v>77</v>
      </c>
      <c r="X668" s="19" t="s">
        <v>235</v>
      </c>
      <c r="Y668" s="19" t="s">
        <v>235</v>
      </c>
      <c r="Z668" s="19" t="s">
        <v>2905</v>
      </c>
      <c r="AA668" s="19">
        <v>2</v>
      </c>
      <c r="AB668" s="19">
        <v>2</v>
      </c>
      <c r="AC668" s="19" t="s">
        <v>60</v>
      </c>
      <c r="AD668" s="19" t="s">
        <v>617</v>
      </c>
      <c r="AE668" s="19" t="s">
        <v>2902</v>
      </c>
      <c r="AF668" s="19"/>
    </row>
    <row r="669" spans="1:34">
      <c r="A669" s="19">
        <v>659</v>
      </c>
      <c r="B669" s="19" t="s">
        <v>1132</v>
      </c>
      <c r="C669" s="19" t="s">
        <v>2236</v>
      </c>
      <c r="D669" s="19" t="str">
        <f>HYPERLINK("http://www.henontech.com/fieldsafety/harzard/harzard_show.php?rid=15885&amp;url=harzardrecs.php","煤八后尾中间一托辊轴承损坏")</f>
        <v>煤八后尾中间一托辊轴承损坏</v>
      </c>
      <c r="E669" s="19" t="s">
        <v>2906</v>
      </c>
      <c r="F669" s="20" t="s">
        <v>42</v>
      </c>
      <c r="G669" s="21" t="s">
        <v>43</v>
      </c>
      <c r="H669" s="19" t="s">
        <v>44</v>
      </c>
      <c r="I669" s="19" t="s">
        <v>67</v>
      </c>
      <c r="J669" s="19" t="s">
        <v>46</v>
      </c>
      <c r="K669" s="19" t="s">
        <v>145</v>
      </c>
      <c r="L669" s="19" t="s">
        <v>48</v>
      </c>
      <c r="M669" s="19" t="s">
        <v>285</v>
      </c>
      <c r="N669" s="19" t="s">
        <v>2907</v>
      </c>
      <c r="O669" s="19" t="s">
        <v>285</v>
      </c>
      <c r="P669" s="19" t="s">
        <v>410</v>
      </c>
      <c r="Q669" s="19" t="s">
        <v>2132</v>
      </c>
      <c r="R669" s="19" t="s">
        <v>2567</v>
      </c>
      <c r="S669" s="19"/>
      <c r="T669" s="19" t="s">
        <v>100</v>
      </c>
      <c r="U669" s="19" t="s">
        <v>192</v>
      </c>
      <c r="V669" s="19" t="s">
        <v>76</v>
      </c>
      <c r="W669" s="19" t="s">
        <v>77</v>
      </c>
      <c r="X669" s="19"/>
      <c r="Y669" s="19"/>
      <c r="Z669" s="19" t="s">
        <v>2908</v>
      </c>
      <c r="AA669" s="19">
        <v>1</v>
      </c>
      <c r="AB669" s="19">
        <v>1</v>
      </c>
      <c r="AC669" s="19" t="s">
        <v>60</v>
      </c>
      <c r="AD669" s="19" t="s">
        <v>410</v>
      </c>
      <c r="AE669" s="19" t="s">
        <v>1202</v>
      </c>
      <c r="AF669" s="19"/>
    </row>
    <row r="670" spans="1:34">
      <c r="A670" s="19">
        <v>660</v>
      </c>
      <c r="B670" s="19" t="s">
        <v>1132</v>
      </c>
      <c r="C670" s="19" t="s">
        <v>2005</v>
      </c>
      <c r="D670" s="19" t="str">
        <f>HYPERLINK("http://www.henontech.com/fieldsafety/harzard/harzard_show.php?rid=15889&amp;url=harzardrecs.php","在开车过程中，一但挡板开焊脱落可能皮带划伤撕裂造成设备事故和溢料和带料等生产事故")</f>
        <v>在开车过程中，一但挡板开焊脱落可能皮带划伤撕裂造成设备事故和溢料和带料等生产事故</v>
      </c>
      <c r="E670" s="19" t="s">
        <v>2909</v>
      </c>
      <c r="F670" s="24" t="s">
        <v>387</v>
      </c>
      <c r="G670" s="21" t="s">
        <v>43</v>
      </c>
      <c r="H670" s="19" t="s">
        <v>44</v>
      </c>
      <c r="I670" s="19" t="s">
        <v>67</v>
      </c>
      <c r="J670" s="19" t="s">
        <v>46</v>
      </c>
      <c r="K670" s="19" t="s">
        <v>47</v>
      </c>
      <c r="L670" s="19" t="s">
        <v>48</v>
      </c>
      <c r="M670" s="19" t="s">
        <v>285</v>
      </c>
      <c r="N670" s="19" t="s">
        <v>2836</v>
      </c>
      <c r="O670" s="19"/>
      <c r="P670" s="19"/>
      <c r="Q670" s="19"/>
      <c r="R670" s="19" t="s">
        <v>2910</v>
      </c>
      <c r="S670" s="19" t="s">
        <v>2911</v>
      </c>
      <c r="T670" s="19" t="s">
        <v>100</v>
      </c>
      <c r="U670" s="19" t="s">
        <v>192</v>
      </c>
      <c r="V670" s="19" t="s">
        <v>101</v>
      </c>
      <c r="W670" s="19" t="s">
        <v>77</v>
      </c>
      <c r="X670" s="19"/>
      <c r="Y670" s="19"/>
      <c r="Z670" s="19"/>
      <c r="AA670" s="19">
        <v>0</v>
      </c>
      <c r="AB670" s="19"/>
      <c r="AC670" s="19" t="s">
        <v>392</v>
      </c>
      <c r="AD670" s="19"/>
      <c r="AE670" s="19"/>
      <c r="AF670" s="19"/>
    </row>
    <row r="671" spans="1:34" customHeight="1" ht="42">
      <c r="A671" s="19">
        <v>661</v>
      </c>
      <c r="B671" s="19" t="s">
        <v>1132</v>
      </c>
      <c r="C671" s="19" t="s">
        <v>2005</v>
      </c>
      <c r="D671" s="19" t="str">
        <f>HYPERLINK("http://www.henontech.com/fieldsafety/harzard/harzard_show.php?rid=15891&amp;url=harzardrecs.php","在开车过程中，一但挡板开焊脱落可能皮带划伤撕裂造成设备事故和溢料和带料等生产事故")</f>
        <v>在开车过程中，一但挡板开焊脱落可能皮带划伤撕裂造成设备事故和溢料和带料等生产事故</v>
      </c>
      <c r="E671" s="19" t="s">
        <v>2909</v>
      </c>
      <c r="F671" s="20" t="s">
        <v>42</v>
      </c>
      <c r="G671" s="22" t="s">
        <v>66</v>
      </c>
      <c r="H671" s="19" t="s">
        <v>44</v>
      </c>
      <c r="I671" s="19" t="s">
        <v>67</v>
      </c>
      <c r="J671" s="19" t="s">
        <v>46</v>
      </c>
      <c r="K671" s="19" t="s">
        <v>47</v>
      </c>
      <c r="L671" s="19" t="s">
        <v>48</v>
      </c>
      <c r="M671" s="19" t="s">
        <v>285</v>
      </c>
      <c r="N671" s="19" t="s">
        <v>2836</v>
      </c>
      <c r="O671" s="19" t="s">
        <v>285</v>
      </c>
      <c r="P671" s="19" t="s">
        <v>617</v>
      </c>
      <c r="Q671" s="19" t="s">
        <v>1322</v>
      </c>
      <c r="R671" s="19" t="s">
        <v>2910</v>
      </c>
      <c r="S671" s="19"/>
      <c r="T671" s="19" t="s">
        <v>100</v>
      </c>
      <c r="U671" s="19" t="s">
        <v>192</v>
      </c>
      <c r="V671" s="19" t="s">
        <v>101</v>
      </c>
      <c r="W671" s="19" t="s">
        <v>77</v>
      </c>
      <c r="X671" s="19" t="s">
        <v>235</v>
      </c>
      <c r="Y671" s="19" t="s">
        <v>235</v>
      </c>
      <c r="Z671" s="19" t="s">
        <v>2912</v>
      </c>
      <c r="AA671" s="19">
        <v>2</v>
      </c>
      <c r="AB671" s="19">
        <v>2</v>
      </c>
      <c r="AC671" s="19" t="s">
        <v>60</v>
      </c>
      <c r="AD671" s="19" t="s">
        <v>617</v>
      </c>
      <c r="AE671" s="19" t="s">
        <v>1074</v>
      </c>
      <c r="AF671" s="19"/>
    </row>
    <row r="672" spans="1:34">
      <c r="A672" s="19">
        <v>662</v>
      </c>
      <c r="B672" s="19" t="s">
        <v>1132</v>
      </c>
      <c r="C672" s="19" t="s">
        <v>284</v>
      </c>
      <c r="D672" s="19" t="str">
        <f>HYPERLINK("http://www.henontech.com/fieldsafety/harzard/harzard_show.php?rid=15916&amp;url=harzardrecs.php","西四岗位3#配料称控煤板腐烂断裂，运行中一旦掉落会造成配料环型带撕裂。")</f>
        <v>西四岗位3#配料称控煤板腐烂断裂，运行中一旦掉落会造成配料环型带撕裂。</v>
      </c>
      <c r="E672" s="19" t="s">
        <v>2913</v>
      </c>
      <c r="F672" s="20" t="s">
        <v>42</v>
      </c>
      <c r="G672" s="21" t="s">
        <v>43</v>
      </c>
      <c r="H672" s="19" t="s">
        <v>44</v>
      </c>
      <c r="I672" s="19" t="s">
        <v>761</v>
      </c>
      <c r="J672" s="19" t="s">
        <v>46</v>
      </c>
      <c r="K672" s="19"/>
      <c r="L672" s="19"/>
      <c r="M672" s="19" t="s">
        <v>285</v>
      </c>
      <c r="N672" s="19" t="s">
        <v>2914</v>
      </c>
      <c r="O672" s="19" t="s">
        <v>285</v>
      </c>
      <c r="P672" s="19" t="s">
        <v>419</v>
      </c>
      <c r="Q672" s="19" t="s">
        <v>1322</v>
      </c>
      <c r="R672" s="19" t="s">
        <v>2272</v>
      </c>
      <c r="S672" s="19"/>
      <c r="T672" s="19" t="s">
        <v>100</v>
      </c>
      <c r="U672" s="19" t="s">
        <v>75</v>
      </c>
      <c r="V672" s="19" t="s">
        <v>56</v>
      </c>
      <c r="W672" s="19" t="s">
        <v>138</v>
      </c>
      <c r="X672" s="19"/>
      <c r="Y672" s="19"/>
      <c r="Z672" s="19" t="s">
        <v>2915</v>
      </c>
      <c r="AA672" s="19">
        <v>1</v>
      </c>
      <c r="AB672" s="19">
        <v>1</v>
      </c>
      <c r="AC672" s="19" t="s">
        <v>60</v>
      </c>
      <c r="AD672" s="19" t="s">
        <v>419</v>
      </c>
      <c r="AE672" s="19" t="s">
        <v>1322</v>
      </c>
      <c r="AF672" s="19"/>
    </row>
    <row r="673" spans="1:34">
      <c r="A673" s="19">
        <v>663</v>
      </c>
      <c r="B673" s="19" t="s">
        <v>1132</v>
      </c>
      <c r="C673" s="19" t="s">
        <v>2107</v>
      </c>
      <c r="D673" s="19" t="str">
        <f>HYPERLINK("http://www.henontech.com/fieldsafety/harzard/harzard_show.php?rid=15945&amp;url=harzardrecs.php","锅炉东侧楼梯第一个下台阶与地面距离过大，职工在下台阶时容易跌倒，造成人身伤害事故发生。")</f>
        <v>锅炉东侧楼梯第一个下台阶与地面距离过大，职工在下台阶时容易跌倒，造成人身伤害事故发生。</v>
      </c>
      <c r="E673" s="19" t="s">
        <v>2916</v>
      </c>
      <c r="F673" s="24" t="s">
        <v>387</v>
      </c>
      <c r="G673" s="21" t="s">
        <v>43</v>
      </c>
      <c r="H673" s="19" t="s">
        <v>44</v>
      </c>
      <c r="I673" s="19" t="s">
        <v>67</v>
      </c>
      <c r="J673" s="19" t="s">
        <v>46</v>
      </c>
      <c r="K673" s="19" t="s">
        <v>166</v>
      </c>
      <c r="L673" s="19" t="s">
        <v>48</v>
      </c>
      <c r="M673" s="19" t="s">
        <v>84</v>
      </c>
      <c r="N673" s="19" t="s">
        <v>2917</v>
      </c>
      <c r="O673" s="19"/>
      <c r="P673" s="19"/>
      <c r="Q673" s="19"/>
      <c r="R673" s="19" t="s">
        <v>2918</v>
      </c>
      <c r="S673" s="19" t="s">
        <v>2919</v>
      </c>
      <c r="T673" s="19" t="s">
        <v>54</v>
      </c>
      <c r="U673" s="19" t="s">
        <v>55</v>
      </c>
      <c r="V673" s="19" t="s">
        <v>56</v>
      </c>
      <c r="W673" s="19" t="s">
        <v>57</v>
      </c>
      <c r="X673" s="19"/>
      <c r="Y673" s="19"/>
      <c r="Z673" s="19"/>
      <c r="AA673" s="19">
        <v>0</v>
      </c>
      <c r="AB673" s="19"/>
      <c r="AC673" s="19" t="s">
        <v>392</v>
      </c>
      <c r="AD673" s="19"/>
      <c r="AE673" s="19"/>
      <c r="AF673" s="19"/>
    </row>
    <row r="674" spans="1:34">
      <c r="A674" s="19">
        <v>664</v>
      </c>
      <c r="B674" s="19" t="s">
        <v>1132</v>
      </c>
      <c r="C674" s="19" t="s">
        <v>284</v>
      </c>
      <c r="D674" s="19" t="str">
        <f>HYPERLINK("http://www.henontech.com/fieldsafety/harzard/harzard_show.php?rid=15948&amp;url=harzardrecs.php","一名职工在打扫路，被挡风墙上的腐蚀网片掉落砸到右肩膀，急时送医院就医治疗，确诊为右臂骨折，住院十五天，在家休养三个月后复工。")</f>
        <v>一名职工在打扫路，被挡风墙上的腐蚀网片掉落砸到右肩膀，急时送医院就医治疗，确诊为右臂骨折，住院十五天，在家休养三个月后复工。</v>
      </c>
      <c r="E674" s="19" t="s">
        <v>2920</v>
      </c>
      <c r="F674" s="20" t="s">
        <v>42</v>
      </c>
      <c r="G674" s="22" t="s">
        <v>66</v>
      </c>
      <c r="H674" s="19" t="s">
        <v>44</v>
      </c>
      <c r="I674" s="19" t="s">
        <v>67</v>
      </c>
      <c r="J674" s="19" t="s">
        <v>401</v>
      </c>
      <c r="K674" s="19" t="s">
        <v>47</v>
      </c>
      <c r="L674" s="19" t="s">
        <v>48</v>
      </c>
      <c r="M674" s="19" t="s">
        <v>285</v>
      </c>
      <c r="N674" s="19" t="s">
        <v>528</v>
      </c>
      <c r="O674" s="19" t="s">
        <v>285</v>
      </c>
      <c r="P674" s="19" t="s">
        <v>419</v>
      </c>
      <c r="Q674" s="19" t="s">
        <v>1322</v>
      </c>
      <c r="R674" s="19" t="s">
        <v>2921</v>
      </c>
      <c r="S674" s="19"/>
      <c r="T674" s="19" t="s">
        <v>54</v>
      </c>
      <c r="U674" s="19" t="s">
        <v>55</v>
      </c>
      <c r="V674" s="19" t="s">
        <v>56</v>
      </c>
      <c r="W674" s="19" t="s">
        <v>57</v>
      </c>
      <c r="X674" s="19"/>
      <c r="Y674" s="19"/>
      <c r="Z674" s="19" t="s">
        <v>2922</v>
      </c>
      <c r="AA674" s="19">
        <v>1</v>
      </c>
      <c r="AB674" s="19">
        <v>1</v>
      </c>
      <c r="AC674" s="19" t="s">
        <v>60</v>
      </c>
      <c r="AD674" s="19" t="s">
        <v>419</v>
      </c>
      <c r="AE674" s="19" t="s">
        <v>1322</v>
      </c>
      <c r="AF674" s="19"/>
    </row>
    <row r="675" spans="1:34">
      <c r="A675" s="19">
        <v>665</v>
      </c>
      <c r="B675" s="19" t="s">
        <v>1132</v>
      </c>
      <c r="C675" s="19" t="s">
        <v>1712</v>
      </c>
      <c r="D675" s="19" t="str">
        <f>HYPERLINK("http://www.henontech.com/fieldsafety/harzard/harzard_show.php?rid=15950&amp;url=harzardrecs.php","北脱硫39#水封放空管有冷凝液漏出，如果不及时处理有大量废液漏出流到地上，可能会造成环保事故发生。")</f>
        <v>北脱硫39#水封放空管有冷凝液漏出，如果不及时处理有大量废液漏出流到地上，可能会造成环保事故发生。</v>
      </c>
      <c r="E675" s="19" t="s">
        <v>2923</v>
      </c>
      <c r="F675" s="20" t="s">
        <v>42</v>
      </c>
      <c r="G675" s="21" t="s">
        <v>43</v>
      </c>
      <c r="H675" s="19" t="s">
        <v>44</v>
      </c>
      <c r="I675" s="19" t="s">
        <v>67</v>
      </c>
      <c r="J675" s="19" t="s">
        <v>46</v>
      </c>
      <c r="K675" s="19" t="s">
        <v>47</v>
      </c>
      <c r="L675" s="19" t="s">
        <v>48</v>
      </c>
      <c r="M675" s="19" t="s">
        <v>70</v>
      </c>
      <c r="N675" s="19" t="s">
        <v>429</v>
      </c>
      <c r="O675" s="19" t="s">
        <v>70</v>
      </c>
      <c r="P675" s="19" t="s">
        <v>72</v>
      </c>
      <c r="Q675" s="19" t="s">
        <v>1322</v>
      </c>
      <c r="R675" s="19" t="s">
        <v>2924</v>
      </c>
      <c r="S675" s="19"/>
      <c r="T675" s="19" t="s">
        <v>270</v>
      </c>
      <c r="U675" s="19" t="s">
        <v>192</v>
      </c>
      <c r="V675" s="19" t="s">
        <v>76</v>
      </c>
      <c r="W675" s="19" t="s">
        <v>77</v>
      </c>
      <c r="X675" s="19"/>
      <c r="Y675" s="19"/>
      <c r="Z675" s="19" t="s">
        <v>2344</v>
      </c>
      <c r="AA675" s="19">
        <v>1</v>
      </c>
      <c r="AB675" s="19">
        <v>1</v>
      </c>
      <c r="AC675" s="19" t="s">
        <v>60</v>
      </c>
      <c r="AD675" s="19" t="s">
        <v>72</v>
      </c>
      <c r="AE675" s="19" t="s">
        <v>1074</v>
      </c>
      <c r="AF675" s="19"/>
    </row>
    <row r="676" spans="1:34">
      <c r="A676" s="19">
        <v>666</v>
      </c>
      <c r="B676" s="19" t="s">
        <v>1074</v>
      </c>
      <c r="C676" s="19" t="s">
        <v>407</v>
      </c>
      <c r="D676" s="19" t="str">
        <f>HYPERLINK("http://www.henontech.com/fieldsafety/harzard/harzard_show.php?rid=15963&amp;url=harzardrecs.php","连轴器护罩镙栓缺失，造成连轴器损坏，损失一千元。")</f>
        <v>连轴器护罩镙栓缺失，造成连轴器损坏，损失一千元。</v>
      </c>
      <c r="E676" s="19" t="s">
        <v>2925</v>
      </c>
      <c r="F676" s="20" t="s">
        <v>42</v>
      </c>
      <c r="G676" s="21" t="s">
        <v>43</v>
      </c>
      <c r="H676" s="19" t="s">
        <v>44</v>
      </c>
      <c r="I676" s="19"/>
      <c r="J676" s="19" t="s">
        <v>46</v>
      </c>
      <c r="K676" s="19" t="s">
        <v>47</v>
      </c>
      <c r="L676" s="19" t="s">
        <v>48</v>
      </c>
      <c r="M676" s="19" t="s">
        <v>285</v>
      </c>
      <c r="N676" s="19" t="s">
        <v>2926</v>
      </c>
      <c r="O676" s="19" t="s">
        <v>285</v>
      </c>
      <c r="P676" s="19" t="s">
        <v>419</v>
      </c>
      <c r="Q676" s="19" t="s">
        <v>1322</v>
      </c>
      <c r="R676" s="19" t="s">
        <v>2327</v>
      </c>
      <c r="S676" s="19"/>
      <c r="T676" s="19" t="s">
        <v>100</v>
      </c>
      <c r="U676" s="19" t="s">
        <v>192</v>
      </c>
      <c r="V676" s="19" t="s">
        <v>76</v>
      </c>
      <c r="W676" s="19" t="s">
        <v>77</v>
      </c>
      <c r="X676" s="19"/>
      <c r="Y676" s="19"/>
      <c r="Z676" s="19" t="s">
        <v>2927</v>
      </c>
      <c r="AA676" s="19">
        <v>1</v>
      </c>
      <c r="AB676" s="19">
        <v>1</v>
      </c>
      <c r="AC676" s="19" t="s">
        <v>60</v>
      </c>
      <c r="AD676" s="19" t="s">
        <v>419</v>
      </c>
      <c r="AE676" s="19" t="s">
        <v>1322</v>
      </c>
      <c r="AF676" s="19"/>
    </row>
    <row r="677" spans="1:34">
      <c r="A677" s="19">
        <v>667</v>
      </c>
      <c r="B677" s="19" t="s">
        <v>1074</v>
      </c>
      <c r="C677" s="19" t="s">
        <v>1330</v>
      </c>
      <c r="D677" s="19" t="str">
        <f>HYPERLINK("http://www.henontech.com/fieldsafety/harzard/harzard_show.php?rid=15964&amp;url=harzardrecs.php","东一门口吸铁器旁边一盛废铁水桶放在走廊中间，一名员工走到这里被绊倒，跌伤腿部，去医院包扎，在家修养三天。")</f>
        <v>东一门口吸铁器旁边一盛废铁水桶放在走廊中间，一名员工走到这里被绊倒，跌伤腿部，去医院包扎，在家修养三天。</v>
      </c>
      <c r="E677" s="19" t="s">
        <v>2928</v>
      </c>
      <c r="F677" s="26" t="s">
        <v>2393</v>
      </c>
      <c r="G677" s="19"/>
      <c r="H677" s="19" t="s">
        <v>44</v>
      </c>
      <c r="I677" s="19" t="s">
        <v>45</v>
      </c>
      <c r="J677" s="19" t="s">
        <v>46</v>
      </c>
      <c r="K677" s="19" t="s">
        <v>47</v>
      </c>
      <c r="L677" s="19" t="s">
        <v>573</v>
      </c>
      <c r="M677" s="19" t="s">
        <v>285</v>
      </c>
      <c r="N677" s="19" t="s">
        <v>2929</v>
      </c>
      <c r="O677" s="19"/>
      <c r="P677" s="19"/>
      <c r="Q677" s="19"/>
      <c r="R677" s="19" t="s">
        <v>2930</v>
      </c>
      <c r="S677" s="19"/>
      <c r="T677" s="19" t="s">
        <v>54</v>
      </c>
      <c r="U677" s="19" t="s">
        <v>75</v>
      </c>
      <c r="V677" s="19" t="s">
        <v>271</v>
      </c>
      <c r="W677" s="19" t="s">
        <v>57</v>
      </c>
      <c r="X677" s="19"/>
      <c r="Y677" s="19"/>
      <c r="Z677" s="19"/>
      <c r="AA677" s="19"/>
      <c r="AB677" s="19"/>
      <c r="AC677" s="19" t="s">
        <v>392</v>
      </c>
      <c r="AD677" s="19"/>
      <c r="AE677" s="19"/>
      <c r="AF677" s="19"/>
    </row>
    <row r="678" spans="1:34">
      <c r="A678" s="19">
        <v>668</v>
      </c>
      <c r="B678" s="19" t="s">
        <v>1074</v>
      </c>
      <c r="C678" s="19" t="s">
        <v>1330</v>
      </c>
      <c r="D678" s="19" t="str">
        <f>HYPERLINK("http://www.henontech.com/fieldsafety/harzard/harzard_show.php?rid=15965&amp;url=harzardrecs.php","东一门口吸铁器旁边一盛废铁水桶放在走廊中间，一名员工走到这里被绊倒，跌伤腿部，去医院包扎，在家修养三天。")</f>
        <v>东一门口吸铁器旁边一盛废铁水桶放在走廊中间，一名员工走到这里被绊倒，跌伤腿部，去医院包扎，在家修养三天。</v>
      </c>
      <c r="E678" s="19" t="s">
        <v>2928</v>
      </c>
      <c r="F678" s="26" t="s">
        <v>2393</v>
      </c>
      <c r="G678" s="19"/>
      <c r="H678" s="19" t="s">
        <v>44</v>
      </c>
      <c r="I678" s="19" t="s">
        <v>45</v>
      </c>
      <c r="J678" s="19" t="s">
        <v>46</v>
      </c>
      <c r="K678" s="19" t="s">
        <v>47</v>
      </c>
      <c r="L678" s="19" t="s">
        <v>573</v>
      </c>
      <c r="M678" s="19" t="s">
        <v>285</v>
      </c>
      <c r="N678" s="19" t="s">
        <v>2929</v>
      </c>
      <c r="O678" s="19"/>
      <c r="P678" s="19"/>
      <c r="Q678" s="19"/>
      <c r="R678" s="19" t="s">
        <v>2930</v>
      </c>
      <c r="S678" s="19"/>
      <c r="T678" s="19" t="s">
        <v>54</v>
      </c>
      <c r="U678" s="19" t="s">
        <v>75</v>
      </c>
      <c r="V678" s="19" t="s">
        <v>271</v>
      </c>
      <c r="W678" s="19" t="s">
        <v>57</v>
      </c>
      <c r="X678" s="19"/>
      <c r="Y678" s="19"/>
      <c r="Z678" s="19"/>
      <c r="AA678" s="19"/>
      <c r="AB678" s="19"/>
      <c r="AC678" s="19" t="s">
        <v>392</v>
      </c>
      <c r="AD678" s="19"/>
      <c r="AE678" s="19"/>
      <c r="AF678" s="19"/>
    </row>
    <row r="679" spans="1:34">
      <c r="A679" s="19">
        <v>669</v>
      </c>
      <c r="B679" s="19" t="s">
        <v>1074</v>
      </c>
      <c r="C679" s="19" t="s">
        <v>380</v>
      </c>
      <c r="D679" s="19" t="str">
        <f>HYPERLINK("http://www.henontech.com/fieldsafety/harzard/harzard_show.php?rid=15969&amp;url=harzardrecs.php","煤五一护栏未及时复位，开车期间，职工经过时，一旦不慎将衣服卷入托辊，会造成手臂擦伤，到医务室敷药后继续上岗作业。")</f>
        <v>煤五一护栏未及时复位，开车期间，职工经过时，一旦不慎将衣服卷入托辊，会造成手臂擦伤，到医务室敷药后继续上岗作业。</v>
      </c>
      <c r="E679" s="19" t="s">
        <v>2931</v>
      </c>
      <c r="F679" s="20" t="s">
        <v>42</v>
      </c>
      <c r="G679" s="21" t="s">
        <v>43</v>
      </c>
      <c r="H679" s="19" t="s">
        <v>44</v>
      </c>
      <c r="I679" s="19" t="s">
        <v>45</v>
      </c>
      <c r="J679" s="19" t="s">
        <v>46</v>
      </c>
      <c r="K679" s="19" t="s">
        <v>145</v>
      </c>
      <c r="L679" s="19" t="s">
        <v>573</v>
      </c>
      <c r="M679" s="19" t="s">
        <v>285</v>
      </c>
      <c r="N679" s="19" t="s">
        <v>2932</v>
      </c>
      <c r="O679" s="19" t="s">
        <v>285</v>
      </c>
      <c r="P679" s="19" t="s">
        <v>419</v>
      </c>
      <c r="Q679" s="19" t="s">
        <v>1322</v>
      </c>
      <c r="R679" s="19" t="s">
        <v>2315</v>
      </c>
      <c r="S679" s="19"/>
      <c r="T679" s="19" t="s">
        <v>54</v>
      </c>
      <c r="U679" s="19" t="s">
        <v>75</v>
      </c>
      <c r="V679" s="19" t="s">
        <v>56</v>
      </c>
      <c r="W679" s="19" t="s">
        <v>138</v>
      </c>
      <c r="X679" s="19"/>
      <c r="Y679" s="19"/>
      <c r="Z679" s="19" t="s">
        <v>2933</v>
      </c>
      <c r="AA679" s="19">
        <v>1</v>
      </c>
      <c r="AB679" s="19">
        <v>1</v>
      </c>
      <c r="AC679" s="19" t="s">
        <v>60</v>
      </c>
      <c r="AD679" s="19" t="s">
        <v>419</v>
      </c>
      <c r="AE679" s="19" t="s">
        <v>1322</v>
      </c>
      <c r="AF679" s="19"/>
    </row>
    <row r="680" spans="1:34">
      <c r="A680" s="19">
        <v>670</v>
      </c>
      <c r="B680" s="19" t="s">
        <v>1074</v>
      </c>
      <c r="C680" s="19" t="s">
        <v>1899</v>
      </c>
      <c r="D680" s="19" t="str">
        <f>HYPERLINK("http://www.henontech.com/fieldsafety/harzard/harzard_show.php?rid=15977&amp;url=harzardrecs.php","北地下放空槽作业属于受限空间作业，不能随便进入，护栏门坠落未固定，不能起到警示他人的作用，操作工未经检测进入受限空间作业易造成轻微中毒，休息片刻后继续工作。")</f>
        <v>北地下放空槽作业属于受限空间作业，不能随便进入，护栏门坠落未固定，不能起到警示他人的作用，操作工未经检测进入受限空间作业易造成轻微中毒，休息片刻后继续工作。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 r="O680" s="19" t="s">
        <v>70</v>
      </c>
      <c r="P680" s="19" t="s">
        <v>72</v>
      </c>
      <c r="Q680" s="19" t="s">
        <v>2613</v>
      </c>
      <c r="R680" s="19" t="s">
        <v>2935</v>
      </c>
      <c r="S680" s="19"/>
      <c r="T680" s="19" t="s">
        <v>54</v>
      </c>
      <c r="U680" s="19" t="s">
        <v>75</v>
      </c>
      <c r="V680" s="19" t="s">
        <v>56</v>
      </c>
      <c r="W680" s="19" t="s">
        <v>138</v>
      </c>
      <c r="X680" s="19"/>
      <c r="Y680" s="19"/>
      <c r="Z680" s="19" t="s">
        <v>2936</v>
      </c>
      <c r="AA680" s="19">
        <v>1</v>
      </c>
      <c r="AB680" s="19">
        <v>1</v>
      </c>
      <c r="AC680" s="19" t="s">
        <v>60</v>
      </c>
      <c r="AD680" s="19" t="s">
        <v>72</v>
      </c>
      <c r="AE680" s="19" t="s">
        <v>1202</v>
      </c>
      <c r="AF680" s="19"/>
    </row>
    <row r="681" spans="1:34">
      <c r="A681" s="19">
        <v>671</v>
      </c>
      <c r="B681" s="19" t="s">
        <v>1074</v>
      </c>
      <c r="C681" s="19" t="s">
        <v>2078</v>
      </c>
      <c r="D681" s="19" t="str">
        <f>HYPERLINK("http://www.henontech.com/fieldsafety/harzard/harzard_show.php?rid=15988&amp;url=harzardrecs.php","制氮机组北门地面杂物未清理，如果操作工巡检时被绊倒造成左手轻微扭伤，休息一会后继续上班。")</f>
        <v>制氮机组北门地面杂物未清理，如果操作工巡检时被绊倒造成左手轻微扭伤，休息一会后继续上班。</v>
      </c>
      <c r="E681" s="19" t="s">
        <v>2937</v>
      </c>
      <c r="F681" s="20" t="s">
        <v>42</v>
      </c>
      <c r="G681" s="21" t="s">
        <v>43</v>
      </c>
      <c r="H681" s="19" t="s">
        <v>44</v>
      </c>
      <c r="I681" s="19" t="s">
        <v>45</v>
      </c>
      <c r="J681" s="19" t="s">
        <v>46</v>
      </c>
      <c r="K681" s="19" t="s">
        <v>47</v>
      </c>
      <c r="L681" s="19" t="s">
        <v>48</v>
      </c>
      <c r="M681" s="19" t="s">
        <v>70</v>
      </c>
      <c r="N681" s="19" t="s">
        <v>1763</v>
      </c>
      <c r="O681" s="19" t="s">
        <v>70</v>
      </c>
      <c r="P681" s="19" t="s">
        <v>72</v>
      </c>
      <c r="Q681" s="19" t="s">
        <v>1322</v>
      </c>
      <c r="R681" s="19" t="s">
        <v>1761</v>
      </c>
      <c r="S681" s="19"/>
      <c r="T681" s="19" t="s">
        <v>54</v>
      </c>
      <c r="U681" s="19" t="s">
        <v>75</v>
      </c>
      <c r="V681" s="19" t="s">
        <v>101</v>
      </c>
      <c r="W681" s="19" t="s">
        <v>77</v>
      </c>
      <c r="X681" s="19"/>
      <c r="Y681" s="19"/>
      <c r="Z681" s="19" t="s">
        <v>2938</v>
      </c>
      <c r="AA681" s="19">
        <v>1</v>
      </c>
      <c r="AB681" s="19">
        <v>1</v>
      </c>
      <c r="AC681" s="19" t="s">
        <v>60</v>
      </c>
      <c r="AD681" s="19" t="s">
        <v>72</v>
      </c>
      <c r="AE681" s="19" t="s">
        <v>1202</v>
      </c>
      <c r="AF681" s="19"/>
    </row>
    <row r="682" spans="1:34">
      <c r="A682" s="19">
        <v>672</v>
      </c>
      <c r="B682" s="19" t="s">
        <v>1074</v>
      </c>
      <c r="C682" s="19" t="s">
        <v>2939</v>
      </c>
      <c r="D682" s="19" t="str">
        <f>HYPERLINK("http://www.henontech.com/fieldsafety/harzard/harzard_show.php?rid=16001&amp;url=harzardrecs.php","一名操作工需要到管架开关阀门时，由于爬梯支架断裂造成操作工坠落。")</f>
        <v>一名操作工需要到管架开关阀门时，由于爬梯支架断裂造成操作工坠落。</v>
      </c>
      <c r="E682" s="19" t="s">
        <v>2940</v>
      </c>
      <c r="F682" s="25" t="s">
        <v>1853</v>
      </c>
      <c r="G682" s="21" t="s">
        <v>43</v>
      </c>
      <c r="H682" s="19" t="s">
        <v>44</v>
      </c>
      <c r="I682" s="19" t="s">
        <v>45</v>
      </c>
      <c r="J682" s="19" t="s">
        <v>46</v>
      </c>
      <c r="K682" s="19" t="s">
        <v>69</v>
      </c>
      <c r="L682" s="19"/>
      <c r="M682" s="19" t="s">
        <v>70</v>
      </c>
      <c r="N682" s="19" t="s">
        <v>2941</v>
      </c>
      <c r="O682" s="19" t="s">
        <v>70</v>
      </c>
      <c r="P682" s="19" t="s">
        <v>72</v>
      </c>
      <c r="Q682" s="19" t="s">
        <v>2132</v>
      </c>
      <c r="R682" s="19" t="s">
        <v>2942</v>
      </c>
      <c r="S682" s="19"/>
      <c r="T682" s="19" t="s">
        <v>54</v>
      </c>
      <c r="U682" s="19" t="s">
        <v>55</v>
      </c>
      <c r="V682" s="19" t="s">
        <v>101</v>
      </c>
      <c r="W682" s="19" t="s">
        <v>138</v>
      </c>
      <c r="X682" s="19"/>
      <c r="Y682" s="19"/>
      <c r="Z682" s="19" t="s">
        <v>2943</v>
      </c>
      <c r="AA682" s="19">
        <v>1</v>
      </c>
      <c r="AB682" s="19"/>
      <c r="AC682" s="19" t="s">
        <v>392</v>
      </c>
      <c r="AD682" s="19"/>
      <c r="AE682" s="19"/>
      <c r="AF682" s="19"/>
    </row>
    <row r="683" spans="1:34">
      <c r="A683" s="19">
        <v>673</v>
      </c>
      <c r="B683" s="19" t="s">
        <v>1074</v>
      </c>
      <c r="C683" s="19" t="s">
        <v>2944</v>
      </c>
      <c r="D683" s="19" t="str">
        <f>HYPERLINK("http://www.henontech.com/fieldsafety/harzard/harzard_show.php?rid=16003&amp;url=harzardrecs.php","水封槽自吸泵电机护罩脱落，如果下雨时雨水淋到电机上，可能造成电机损坏和水封槽溢液的环境污染事故。")</f>
        <v>水封槽自吸泵电机护罩脱落，如果下雨时雨水淋到电机上，可能造成电机损坏和水封槽溢液的环境污染事故。</v>
      </c>
      <c r="E683" s="19" t="s">
        <v>2945</v>
      </c>
      <c r="F683" s="20" t="s">
        <v>42</v>
      </c>
      <c r="G683" s="21" t="s">
        <v>43</v>
      </c>
      <c r="H683" s="19" t="s">
        <v>44</v>
      </c>
      <c r="I683" s="19" t="s">
        <v>67</v>
      </c>
      <c r="J683" s="19" t="s">
        <v>46</v>
      </c>
      <c r="K683" s="19" t="s">
        <v>47</v>
      </c>
      <c r="L683" s="19" t="s">
        <v>48</v>
      </c>
      <c r="M683" s="19" t="s">
        <v>70</v>
      </c>
      <c r="N683" s="19" t="s">
        <v>2946</v>
      </c>
      <c r="O683" s="19" t="s">
        <v>70</v>
      </c>
      <c r="P683" s="19" t="s">
        <v>72</v>
      </c>
      <c r="Q683" s="19" t="s">
        <v>2132</v>
      </c>
      <c r="R683" s="19" t="s">
        <v>2947</v>
      </c>
      <c r="S683" s="19"/>
      <c r="T683" s="19" t="s">
        <v>270</v>
      </c>
      <c r="U683" s="19" t="s">
        <v>75</v>
      </c>
      <c r="V683" s="19" t="s">
        <v>271</v>
      </c>
      <c r="W683" s="19" t="s">
        <v>57</v>
      </c>
      <c r="X683" s="19"/>
      <c r="Y683" s="19"/>
      <c r="Z683" s="19" t="s">
        <v>2948</v>
      </c>
      <c r="AA683" s="19">
        <v>1</v>
      </c>
      <c r="AB683" s="19">
        <v>1</v>
      </c>
      <c r="AC683" s="19" t="s">
        <v>60</v>
      </c>
      <c r="AD683" s="19" t="s">
        <v>72</v>
      </c>
      <c r="AE683" s="19" t="s">
        <v>1080</v>
      </c>
      <c r="AF683" s="19"/>
    </row>
    <row r="684" spans="1:34">
      <c r="A684" s="19">
        <v>674</v>
      </c>
      <c r="B684" s="19" t="s">
        <v>1074</v>
      </c>
      <c r="C684" s="19" t="s">
        <v>1111</v>
      </c>
      <c r="D684" s="19" t="str">
        <f>HYPERLINK("http://www.henontech.com/fieldsafety/harzard/harzard_show.php?rid=16004&amp;url=harzardrecs.php","冷凝液管线保温铝皮开裂，假如大风天气一名巡检工从管架下经过，铝皮脱落砍在巡检工颈部，造成颈部划伤，去医院简单处理后继续上班，无损工。")</f>
        <v>冷凝液管线保温铝皮开裂，假如大风天气一名巡检工从管架下经过，铝皮脱落砍在巡检工颈部，造成颈部划伤，去医院简单处理后继续上班，无损工。</v>
      </c>
      <c r="E684" s="19" t="s">
        <v>2949</v>
      </c>
      <c r="F684" s="20" t="s">
        <v>42</v>
      </c>
      <c r="G684" s="21" t="s">
        <v>43</v>
      </c>
      <c r="H684" s="19" t="s">
        <v>44</v>
      </c>
      <c r="I684" s="19" t="s">
        <v>45</v>
      </c>
      <c r="J684" s="19" t="s">
        <v>46</v>
      </c>
      <c r="K684" s="19" t="s">
        <v>69</v>
      </c>
      <c r="L684" s="19" t="s">
        <v>48</v>
      </c>
      <c r="M684" s="19" t="s">
        <v>70</v>
      </c>
      <c r="N684" s="19" t="s">
        <v>559</v>
      </c>
      <c r="O684" s="19" t="s">
        <v>70</v>
      </c>
      <c r="P684" s="19" t="s">
        <v>72</v>
      </c>
      <c r="Q684" s="19" t="s">
        <v>2132</v>
      </c>
      <c r="R684" s="19" t="s">
        <v>2950</v>
      </c>
      <c r="S684" s="19"/>
      <c r="T684" s="19" t="s">
        <v>54</v>
      </c>
      <c r="U684" s="19" t="s">
        <v>75</v>
      </c>
      <c r="V684" s="19" t="s">
        <v>76</v>
      </c>
      <c r="W684" s="19" t="s">
        <v>77</v>
      </c>
      <c r="X684" s="19"/>
      <c r="Y684" s="19"/>
      <c r="Z684" s="19" t="s">
        <v>2951</v>
      </c>
      <c r="AA684" s="19">
        <v>1</v>
      </c>
      <c r="AB684" s="19">
        <v>1</v>
      </c>
      <c r="AC684" s="19" t="s">
        <v>60</v>
      </c>
      <c r="AD684" s="19" t="s">
        <v>72</v>
      </c>
      <c r="AE684" s="19" t="s">
        <v>1202</v>
      </c>
      <c r="AF684" s="19"/>
    </row>
    <row r="685" spans="1:34">
      <c r="A685" s="19">
        <v>675</v>
      </c>
      <c r="B685" s="19" t="s">
        <v>1074</v>
      </c>
      <c r="C685" s="19" t="s">
        <v>380</v>
      </c>
      <c r="D685" s="19" t="str">
        <f>HYPERLINK("http://www.henontech.com/fieldsafety/harzard/harzard_show.php?rid=16005&amp;url=harzardrecs.php","煤五皮带机护栏没有复位，一旦操作工工作过程中不小心将右手卷入，造成骨折住院治疗一个月，休养两个月。")</f>
        <v>煤五皮带机护栏没有复位，一旦操作工工作过程中不小心将右手卷入，造成骨折住院治疗一个月，休养两个月。</v>
      </c>
      <c r="E685" s="19" t="s">
        <v>2952</v>
      </c>
      <c r="F685" s="20" t="s">
        <v>42</v>
      </c>
      <c r="G685" s="22" t="s">
        <v>66</v>
      </c>
      <c r="H685" s="19" t="s">
        <v>44</v>
      </c>
      <c r="I685" s="19" t="s">
        <v>83</v>
      </c>
      <c r="J685" s="19" t="s">
        <v>46</v>
      </c>
      <c r="K685" s="19" t="s">
        <v>47</v>
      </c>
      <c r="L685" s="19" t="s">
        <v>48</v>
      </c>
      <c r="M685" s="19" t="s">
        <v>285</v>
      </c>
      <c r="N685" s="19" t="s">
        <v>2953</v>
      </c>
      <c r="O685" s="19" t="s">
        <v>285</v>
      </c>
      <c r="P685" s="19" t="s">
        <v>410</v>
      </c>
      <c r="Q685" s="19" t="s">
        <v>2132</v>
      </c>
      <c r="R685" s="19" t="s">
        <v>2315</v>
      </c>
      <c r="S685" s="19"/>
      <c r="T685" s="19" t="s">
        <v>54</v>
      </c>
      <c r="U685" s="19" t="s">
        <v>55</v>
      </c>
      <c r="V685" s="19" t="s">
        <v>56</v>
      </c>
      <c r="W685" s="19" t="s">
        <v>57</v>
      </c>
      <c r="X685" s="19"/>
      <c r="Y685" s="19"/>
      <c r="Z685" s="19" t="s">
        <v>2954</v>
      </c>
      <c r="AA685" s="19">
        <v>1</v>
      </c>
      <c r="AB685" s="19">
        <v>1</v>
      </c>
      <c r="AC685" s="19" t="s">
        <v>60</v>
      </c>
      <c r="AD685" s="19" t="s">
        <v>410</v>
      </c>
      <c r="AE685" s="19" t="s">
        <v>1202</v>
      </c>
      <c r="AF685" s="19"/>
    </row>
    <row r="686" spans="1:34">
      <c r="A686" s="19">
        <v>676</v>
      </c>
      <c r="B686" s="19" t="s">
        <v>1074</v>
      </c>
      <c r="C686" s="19" t="s">
        <v>2636</v>
      </c>
      <c r="D686" s="19" t="str">
        <f>HYPERLINK("http://www.henontech.com/fieldsafety/harzard/harzard_show.php?rid=16008&amp;url=harzardrecs.php","粗苯排渣罐西墙外面消防箱子门框开裂。")</f>
        <v>粗苯排渣罐西墙外面消防箱子门框开裂。</v>
      </c>
      <c r="E686" s="19" t="s">
        <v>2955</v>
      </c>
      <c r="F686" s="20" t="s">
        <v>42</v>
      </c>
      <c r="G686" s="21" t="s">
        <v>43</v>
      </c>
      <c r="H686" s="19" t="s">
        <v>44</v>
      </c>
      <c r="I686" s="19" t="s">
        <v>45</v>
      </c>
      <c r="J686" s="19" t="s">
        <v>46</v>
      </c>
      <c r="K686" s="19"/>
      <c r="L686" s="19" t="s">
        <v>48</v>
      </c>
      <c r="M686" s="19" t="s">
        <v>70</v>
      </c>
      <c r="N686" s="19" t="s">
        <v>2026</v>
      </c>
      <c r="O686" s="19" t="s">
        <v>70</v>
      </c>
      <c r="P686" s="19" t="s">
        <v>72</v>
      </c>
      <c r="Q686" s="19" t="s">
        <v>2132</v>
      </c>
      <c r="R686" s="19" t="s">
        <v>2956</v>
      </c>
      <c r="S686" s="19"/>
      <c r="T686" s="19" t="s">
        <v>54</v>
      </c>
      <c r="U686" s="19" t="s">
        <v>75</v>
      </c>
      <c r="V686" s="19" t="s">
        <v>56</v>
      </c>
      <c r="W686" s="19" t="s">
        <v>138</v>
      </c>
      <c r="X686" s="19"/>
      <c r="Y686" s="19"/>
      <c r="Z686" s="19" t="s">
        <v>2957</v>
      </c>
      <c r="AA686" s="19">
        <v>1</v>
      </c>
      <c r="AB686" s="19">
        <v>1</v>
      </c>
      <c r="AC686" s="19" t="s">
        <v>60</v>
      </c>
      <c r="AD686" s="19" t="s">
        <v>72</v>
      </c>
      <c r="AE686" s="19" t="s">
        <v>1202</v>
      </c>
      <c r="AF686" s="19"/>
    </row>
    <row r="687" spans="1:34">
      <c r="A687" s="19">
        <v>677</v>
      </c>
      <c r="B687" s="19" t="s">
        <v>1074</v>
      </c>
      <c r="C687" s="19" t="s">
        <v>2193</v>
      </c>
      <c r="D687" s="19" t="str">
        <f>HYPERLINK("http://www.henontech.com/fieldsafety/harzard/harzard_show.php?rid=16009&amp;url=harzardrecs.php","老化学水，水池出口阀管道盖板缺失")</f>
        <v>老化学水，水池出口阀管道盖板缺失</v>
      </c>
      <c r="E687" s="19" t="s">
        <v>2958</v>
      </c>
      <c r="F687" s="24" t="s">
        <v>387</v>
      </c>
      <c r="G687" s="21" t="s">
        <v>43</v>
      </c>
      <c r="H687" s="19" t="s">
        <v>44</v>
      </c>
      <c r="I687" s="19" t="s">
        <v>67</v>
      </c>
      <c r="J687" s="19" t="s">
        <v>46</v>
      </c>
      <c r="K687" s="19" t="s">
        <v>69</v>
      </c>
      <c r="L687" s="19" t="s">
        <v>48</v>
      </c>
      <c r="M687" s="19" t="s">
        <v>84</v>
      </c>
      <c r="N687" s="19" t="s">
        <v>2959</v>
      </c>
      <c r="O687" s="19"/>
      <c r="P687" s="19"/>
      <c r="Q687" s="19"/>
      <c r="R687" s="19" t="s">
        <v>2960</v>
      </c>
      <c r="S687" s="19" t="s">
        <v>2961</v>
      </c>
      <c r="T687" s="19" t="s">
        <v>54</v>
      </c>
      <c r="U687" s="19" t="s">
        <v>55</v>
      </c>
      <c r="V687" s="19" t="s">
        <v>56</v>
      </c>
      <c r="W687" s="19" t="s">
        <v>57</v>
      </c>
      <c r="X687" s="19"/>
      <c r="Y687" s="19"/>
      <c r="Z687" s="19"/>
      <c r="AA687" s="19">
        <v>0</v>
      </c>
      <c r="AB687" s="19"/>
      <c r="AC687" s="19" t="s">
        <v>392</v>
      </c>
      <c r="AD687" s="19"/>
      <c r="AE687" s="19"/>
      <c r="AF687" s="19"/>
    </row>
    <row r="688" spans="1:34">
      <c r="A688" s="19">
        <v>678</v>
      </c>
      <c r="B688" s="19" t="s">
        <v>1074</v>
      </c>
      <c r="C688" s="19" t="s">
        <v>128</v>
      </c>
      <c r="D688" s="19" t="str">
        <f>HYPERLINK("http://www.henontech.com/fieldsafety/harzard/harzard_show.php?rid=16014&amp;url=harzardrecs.php","硫酸罐腐蚀破损，一操作工放硫酸时不慎溅到右腿上，腐蚀破工作服及皮肤，就医后住院治疗一天，休息一周后复工")</f>
        <v>硫酸罐腐蚀破损，一操作工放硫酸时不慎溅到右腿上，腐蚀破工作服及皮肤，就医后住院治疗一天，休息一周后复工</v>
      </c>
      <c r="E688" s="19" t="s">
        <v>2962</v>
      </c>
      <c r="F688" s="26" t="s">
        <v>2393</v>
      </c>
      <c r="G688" s="19"/>
      <c r="H688" s="19" t="s">
        <v>44</v>
      </c>
      <c r="I688" s="19" t="s">
        <v>45</v>
      </c>
      <c r="J688" s="19" t="s">
        <v>46</v>
      </c>
      <c r="K688" s="19" t="s">
        <v>69</v>
      </c>
      <c r="L688" s="19"/>
      <c r="M688" s="19" t="s">
        <v>49</v>
      </c>
      <c r="N688" s="19" t="s">
        <v>1513</v>
      </c>
      <c r="O688" s="19"/>
      <c r="P688" s="19"/>
      <c r="Q688" s="19"/>
      <c r="R688" s="19" t="s">
        <v>2963</v>
      </c>
      <c r="S688" s="19"/>
      <c r="T688" s="19" t="s">
        <v>54</v>
      </c>
      <c r="U688" s="19" t="s">
        <v>75</v>
      </c>
      <c r="V688" s="19" t="s">
        <v>56</v>
      </c>
      <c r="W688" s="19" t="s">
        <v>138</v>
      </c>
      <c r="X688" s="19"/>
      <c r="Y688" s="19"/>
      <c r="Z688" s="19"/>
      <c r="AA688" s="19"/>
      <c r="AB688" s="19"/>
      <c r="AC688" s="19" t="s">
        <v>392</v>
      </c>
      <c r="AD688" s="19"/>
      <c r="AE688" s="19"/>
      <c r="AF688" s="19"/>
    </row>
    <row r="689" spans="1:34">
      <c r="A689" s="19">
        <v>679</v>
      </c>
      <c r="B689" s="19" t="s">
        <v>1202</v>
      </c>
      <c r="C689" s="19" t="s">
        <v>1930</v>
      </c>
      <c r="D689" s="19" t="str">
        <f>HYPERLINK("http://www.henontech.com/fieldsafety/harzard/harzard_show.php?rid=16032&amp;url=harzardrecs.php","防爆绕性管破裂，环境腐蚀铁链接件，断裂。")</f>
        <v>防爆绕性管破裂，环境腐蚀铁链接件，断裂。</v>
      </c>
      <c r="E689" s="19" t="s">
        <v>2964</v>
      </c>
      <c r="F689" s="20" t="s">
        <v>42</v>
      </c>
      <c r="G689" s="21" t="s">
        <v>43</v>
      </c>
      <c r="H689" s="19" t="s">
        <v>44</v>
      </c>
      <c r="I689" s="19" t="s">
        <v>45</v>
      </c>
      <c r="J689" s="19" t="s">
        <v>46</v>
      </c>
      <c r="K689" s="19" t="s">
        <v>69</v>
      </c>
      <c r="L689" s="19" t="s">
        <v>48</v>
      </c>
      <c r="M689" s="19" t="s">
        <v>70</v>
      </c>
      <c r="N689" s="19" t="s">
        <v>1644</v>
      </c>
      <c r="O689" s="19" t="s">
        <v>70</v>
      </c>
      <c r="P689" s="19" t="s">
        <v>72</v>
      </c>
      <c r="Q689" s="19" t="s">
        <v>2132</v>
      </c>
      <c r="R689" s="19" t="s">
        <v>2965</v>
      </c>
      <c r="S689" s="19"/>
      <c r="T689" s="19" t="s">
        <v>100</v>
      </c>
      <c r="U689" s="19" t="s">
        <v>192</v>
      </c>
      <c r="V689" s="19" t="s">
        <v>76</v>
      </c>
      <c r="W689" s="19" t="s">
        <v>77</v>
      </c>
      <c r="X689" s="19"/>
      <c r="Y689" s="19"/>
      <c r="Z689" s="19" t="s">
        <v>2966</v>
      </c>
      <c r="AA689" s="19">
        <v>1</v>
      </c>
      <c r="AB689" s="19">
        <v>1</v>
      </c>
      <c r="AC689" s="19" t="s">
        <v>60</v>
      </c>
      <c r="AD689" s="19" t="s">
        <v>72</v>
      </c>
      <c r="AE689" s="19" t="s">
        <v>1202</v>
      </c>
      <c r="AF689" s="19"/>
    </row>
    <row r="690" spans="1:34">
      <c r="A690" s="19">
        <v>680</v>
      </c>
      <c r="B690" s="19" t="s">
        <v>1202</v>
      </c>
      <c r="C690" s="19" t="s">
        <v>2636</v>
      </c>
      <c r="D690" s="19" t="str">
        <f>HYPERLINK("http://www.henontech.com/fieldsafety/harzard/harzard_show.php?rid=16035&amp;url=harzardrecs.php","外排阀电器接口与防爆绕性管不配套，没法正常连接。")</f>
        <v>外排阀电器接口与防爆绕性管不配套，没法正常连接。</v>
      </c>
      <c r="E690" s="19" t="s">
        <v>2967</v>
      </c>
      <c r="F690" s="20" t="s">
        <v>42</v>
      </c>
      <c r="G690" s="21" t="s">
        <v>43</v>
      </c>
      <c r="H690" s="19" t="s">
        <v>44</v>
      </c>
      <c r="I690" s="19" t="s">
        <v>45</v>
      </c>
      <c r="J690" s="19" t="s">
        <v>46</v>
      </c>
      <c r="K690" s="19" t="s">
        <v>69</v>
      </c>
      <c r="L690" s="19" t="s">
        <v>48</v>
      </c>
      <c r="M690" s="19" t="s">
        <v>70</v>
      </c>
      <c r="N690" s="19" t="s">
        <v>1644</v>
      </c>
      <c r="O690" s="19" t="s">
        <v>70</v>
      </c>
      <c r="P690" s="19" t="s">
        <v>72</v>
      </c>
      <c r="Q690" s="19" t="s">
        <v>2132</v>
      </c>
      <c r="R690" s="19" t="s">
        <v>2968</v>
      </c>
      <c r="S690" s="19"/>
      <c r="T690" s="19" t="s">
        <v>100</v>
      </c>
      <c r="U690" s="19" t="s">
        <v>192</v>
      </c>
      <c r="V690" s="19" t="s">
        <v>76</v>
      </c>
      <c r="W690" s="19" t="s">
        <v>77</v>
      </c>
      <c r="X690" s="19"/>
      <c r="Y690" s="19"/>
      <c r="Z690" s="19" t="s">
        <v>2969</v>
      </c>
      <c r="AA690" s="19">
        <v>1</v>
      </c>
      <c r="AB690" s="19">
        <v>1</v>
      </c>
      <c r="AC690" s="19" t="s">
        <v>60</v>
      </c>
      <c r="AD690" s="19" t="s">
        <v>72</v>
      </c>
      <c r="AE690" s="19" t="s">
        <v>1202</v>
      </c>
      <c r="AF690" s="19"/>
    </row>
    <row r="691" spans="1:34">
      <c r="A691" s="19">
        <v>681</v>
      </c>
      <c r="B691" s="19" t="s">
        <v>1202</v>
      </c>
      <c r="C691" s="19" t="s">
        <v>2970</v>
      </c>
      <c r="D691" s="19" t="str">
        <f>HYPERLINK("http://www.henontech.com/fieldsafety/harzard/harzard_show.php?rid=16036&amp;url=harzardrecs.php","南风机初冷器煤气出口管道现场压力表损坏，当电脑dcs远传压力不准时，操作工无法与现场压力表比较，造成生产系统超压，风机系统停机，焦炉侧冒烟，造成公司内通报批评。")</f>
        <v>南风机初冷器煤气出口管道现场压力表损坏，当电脑dcs远传压力不准时，操作工无法与现场压力表比较，造成生产系统超压，风机系统停机，焦炉侧冒烟，造成公司内通报批评。</v>
      </c>
      <c r="E691" s="19" t="s">
        <v>2971</v>
      </c>
      <c r="F691" s="20" t="s">
        <v>42</v>
      </c>
      <c r="G691" s="21" t="s">
        <v>43</v>
      </c>
      <c r="H691" s="19" t="s">
        <v>44</v>
      </c>
      <c r="I691" s="19" t="s">
        <v>45</v>
      </c>
      <c r="J691" s="19" t="s">
        <v>46</v>
      </c>
      <c r="K691" s="19" t="s">
        <v>69</v>
      </c>
      <c r="L691" s="19" t="s">
        <v>48</v>
      </c>
      <c r="M691" s="19" t="s">
        <v>70</v>
      </c>
      <c r="N691" s="19" t="s">
        <v>2531</v>
      </c>
      <c r="O691" s="19" t="s">
        <v>70</v>
      </c>
      <c r="P691" s="19" t="s">
        <v>72</v>
      </c>
      <c r="Q691" s="19" t="s">
        <v>2132</v>
      </c>
      <c r="R691" s="19" t="s">
        <v>2972</v>
      </c>
      <c r="S691" s="19"/>
      <c r="T691" s="19" t="s">
        <v>270</v>
      </c>
      <c r="U691" s="19" t="s">
        <v>75</v>
      </c>
      <c r="V691" s="19" t="s">
        <v>76</v>
      </c>
      <c r="W691" s="19" t="s">
        <v>77</v>
      </c>
      <c r="X691" s="19"/>
      <c r="Y691" s="19"/>
      <c r="Z691" s="19" t="s">
        <v>2710</v>
      </c>
      <c r="AA691" s="19">
        <v>1</v>
      </c>
      <c r="AB691" s="19">
        <v>1</v>
      </c>
      <c r="AC691" s="19" t="s">
        <v>60</v>
      </c>
      <c r="AD691" s="19" t="s">
        <v>72</v>
      </c>
      <c r="AE691" s="19" t="s">
        <v>1202</v>
      </c>
      <c r="AF691" s="19"/>
    </row>
    <row r="692" spans="1:34" customHeight="1" ht="42">
      <c r="A692" s="19">
        <v>682</v>
      </c>
      <c r="B692" s="19" t="s">
        <v>1202</v>
      </c>
      <c r="C692" s="19" t="s">
        <v>2880</v>
      </c>
      <c r="D692" s="19" t="str">
        <f>HYPERLINK("http://www.henontech.com/fieldsafety/harzard/harzard_show.php?rid=16038&amp;url=harzardrecs.php","一名员工在一号冷灰机放灰时大量炉灰喷溅躲闪及时未造成人员伤害")</f>
        <v>一名员工在一号冷灰机放灰时大量炉灰喷溅躲闪及时未造成人员伤害</v>
      </c>
      <c r="E692" s="19" t="s">
        <v>2973</v>
      </c>
      <c r="F692" s="25" t="s">
        <v>1853</v>
      </c>
      <c r="G692" s="21" t="s">
        <v>43</v>
      </c>
      <c r="H692" s="19" t="s">
        <v>44</v>
      </c>
      <c r="I692" s="19"/>
      <c r="J692" s="19" t="s">
        <v>46</v>
      </c>
      <c r="K692" s="19" t="s">
        <v>145</v>
      </c>
      <c r="L692" s="19"/>
      <c r="M692" s="19" t="s">
        <v>84</v>
      </c>
      <c r="N692" s="19" t="s">
        <v>2974</v>
      </c>
      <c r="O692" s="19" t="s">
        <v>84</v>
      </c>
      <c r="P692" s="19" t="s">
        <v>85</v>
      </c>
      <c r="Q692" s="19" t="s">
        <v>2132</v>
      </c>
      <c r="R692" s="19" t="s">
        <v>2975</v>
      </c>
      <c r="S692" s="19"/>
      <c r="T692" s="19" t="s">
        <v>54</v>
      </c>
      <c r="U692" s="19" t="s">
        <v>192</v>
      </c>
      <c r="V692" s="19" t="s">
        <v>101</v>
      </c>
      <c r="W692" s="19" t="s">
        <v>77</v>
      </c>
      <c r="X692" s="19" t="s">
        <v>58</v>
      </c>
      <c r="Y692" s="19"/>
      <c r="Z692" s="19" t="s">
        <v>2976</v>
      </c>
      <c r="AA692" s="19">
        <v>2</v>
      </c>
      <c r="AB692" s="19"/>
      <c r="AC692" s="19" t="s">
        <v>392</v>
      </c>
      <c r="AD692" s="19"/>
      <c r="AE692" s="19"/>
      <c r="AF692" s="19"/>
    </row>
    <row r="693" spans="1:34">
      <c r="A693" s="19">
        <v>683</v>
      </c>
      <c r="B693" s="19" t="s">
        <v>1202</v>
      </c>
      <c r="C693" s="19" t="s">
        <v>1111</v>
      </c>
      <c r="D693" s="19" t="str">
        <f>HYPERLINK("http://www.henontech.com/fieldsafety/harzard/harzard_show.php?rid=16050&amp;url=harzardrecs.php","东硫铵卸酸槽处防护栏缺失，由于夜间光线暗，一旦巡检人员经过时不慎掉落卸酸槽内，造成右小腿骨折，住院治疗一个月，回家休养两个月后康复。造成损工91天")</f>
        <v>东硫铵卸酸槽处防护栏缺失，由于夜间光线暗，一旦巡检人员经过时不慎掉落卸酸槽内，造成右小腿骨折，住院治疗一个月，回家休养两个月后康复。造成损工91天</v>
      </c>
      <c r="E693" s="19" t="s">
        <v>2977</v>
      </c>
      <c r="F693" s="20" t="s">
        <v>42</v>
      </c>
      <c r="G693" s="21" t="s">
        <v>43</v>
      </c>
      <c r="H693" s="19" t="s">
        <v>44</v>
      </c>
      <c r="I693" s="19" t="s">
        <v>45</v>
      </c>
      <c r="J693" s="19" t="s">
        <v>68</v>
      </c>
      <c r="K693" s="19" t="s">
        <v>69</v>
      </c>
      <c r="L693" s="19" t="s">
        <v>48</v>
      </c>
      <c r="M693" s="19" t="s">
        <v>70</v>
      </c>
      <c r="N693" s="19" t="s">
        <v>2978</v>
      </c>
      <c r="O693" s="19" t="s">
        <v>70</v>
      </c>
      <c r="P693" s="19" t="s">
        <v>72</v>
      </c>
      <c r="Q693" s="19" t="s">
        <v>2132</v>
      </c>
      <c r="R693" s="19" t="s">
        <v>2979</v>
      </c>
      <c r="S693" s="19"/>
      <c r="T693" s="19" t="s">
        <v>54</v>
      </c>
      <c r="U693" s="19" t="s">
        <v>55</v>
      </c>
      <c r="V693" s="19" t="s">
        <v>56</v>
      </c>
      <c r="W693" s="19" t="s">
        <v>57</v>
      </c>
      <c r="X693" s="19"/>
      <c r="Y693" s="19"/>
      <c r="Z693" s="19" t="s">
        <v>2111</v>
      </c>
      <c r="AA693" s="19">
        <v>1</v>
      </c>
      <c r="AB693" s="19">
        <v>1</v>
      </c>
      <c r="AC693" s="19" t="s">
        <v>60</v>
      </c>
      <c r="AD693" s="19" t="s">
        <v>72</v>
      </c>
      <c r="AE693" s="19" t="s">
        <v>1080</v>
      </c>
      <c r="AF693" s="19"/>
    </row>
    <row r="694" spans="1:34">
      <c r="A694" s="19">
        <v>684</v>
      </c>
      <c r="B694" s="19" t="s">
        <v>1202</v>
      </c>
      <c r="C694" s="19" t="s">
        <v>507</v>
      </c>
      <c r="D694" s="19" t="str">
        <f>HYPERLINK("http://www.henontech.com/fieldsafety/harzard/harzard_show.php?rid=16052&amp;url=harzardrecs.php","液下泵蒸汽阀门垫子坏，蒸汽外漏。如果操作工在开阀门时被喷出蒸汽烫伤左手臂，去医务室简单处理后正常上班")</f>
        <v>液下泵蒸汽阀门垫子坏，蒸汽外漏。如果操作工在开阀门时被喷出蒸汽烫伤左手臂，去医务室简单处理后正常上班</v>
      </c>
      <c r="E694" s="19" t="s">
        <v>2980</v>
      </c>
      <c r="F694" s="25" t="s">
        <v>1853</v>
      </c>
      <c r="G694" s="21" t="s">
        <v>43</v>
      </c>
      <c r="H694" s="19" t="s">
        <v>44</v>
      </c>
      <c r="I694" s="19" t="s">
        <v>67</v>
      </c>
      <c r="J694" s="19" t="s">
        <v>46</v>
      </c>
      <c r="K694" s="19" t="s">
        <v>69</v>
      </c>
      <c r="L694" s="19" t="s">
        <v>48</v>
      </c>
      <c r="M694" s="19" t="s">
        <v>70</v>
      </c>
      <c r="N694" s="19" t="s">
        <v>2981</v>
      </c>
      <c r="O694" s="19" t="s">
        <v>70</v>
      </c>
      <c r="P694" s="19" t="s">
        <v>72</v>
      </c>
      <c r="Q694" s="19" t="s">
        <v>2132</v>
      </c>
      <c r="R694" s="19" t="s">
        <v>2982</v>
      </c>
      <c r="S694" s="19"/>
      <c r="T694" s="19" t="s">
        <v>54</v>
      </c>
      <c r="U694" s="19" t="s">
        <v>75</v>
      </c>
      <c r="V694" s="19" t="s">
        <v>56</v>
      </c>
      <c r="W694" s="19" t="s">
        <v>138</v>
      </c>
      <c r="X694" s="19"/>
      <c r="Y694" s="19"/>
      <c r="Z694" s="19" t="s">
        <v>2983</v>
      </c>
      <c r="AA694" s="19">
        <v>1</v>
      </c>
      <c r="AB694" s="19"/>
      <c r="AC694" s="19" t="s">
        <v>392</v>
      </c>
      <c r="AD694" s="19"/>
      <c r="AE694" s="19"/>
      <c r="AF694" s="19"/>
    </row>
    <row r="695" spans="1:34">
      <c r="A695" s="19">
        <v>685</v>
      </c>
      <c r="B695" s="19" t="s">
        <v>1202</v>
      </c>
      <c r="C695" s="19" t="s">
        <v>407</v>
      </c>
      <c r="D695" s="19" t="str">
        <f>HYPERLINK("http://www.henontech.com/fieldsafety/harzard/harzard_show.php?rid=16092&amp;url=harzardrecs.php","中控室照明灯损坏，中夜班光线昏暗，职工看不清易发生误操作，造成非正常停车")</f>
        <v>中控室照明灯损坏，中夜班光线昏暗，职工看不清易发生误操作，造成非正常停车</v>
      </c>
      <c r="E695" s="19" t="s">
        <v>2984</v>
      </c>
      <c r="F695" s="20" t="s">
        <v>42</v>
      </c>
      <c r="G695" s="22" t="s">
        <v>66</v>
      </c>
      <c r="H695" s="19" t="s">
        <v>44</v>
      </c>
      <c r="I695" s="19" t="s">
        <v>45</v>
      </c>
      <c r="J695" s="19"/>
      <c r="K695" s="19"/>
      <c r="L695" s="19"/>
      <c r="M695" s="19" t="s">
        <v>285</v>
      </c>
      <c r="N695" s="19" t="s">
        <v>2985</v>
      </c>
      <c r="O695" s="19" t="s">
        <v>285</v>
      </c>
      <c r="P695" s="19" t="s">
        <v>410</v>
      </c>
      <c r="Q695" s="19" t="s">
        <v>2132</v>
      </c>
      <c r="R695" s="19" t="s">
        <v>2986</v>
      </c>
      <c r="S695" s="19"/>
      <c r="T695" s="19" t="s">
        <v>100</v>
      </c>
      <c r="U695" s="19" t="s">
        <v>192</v>
      </c>
      <c r="V695" s="19" t="s">
        <v>56</v>
      </c>
      <c r="W695" s="19" t="s">
        <v>77</v>
      </c>
      <c r="X695" s="19" t="s">
        <v>226</v>
      </c>
      <c r="Y695" s="19"/>
      <c r="Z695" s="19" t="s">
        <v>2987</v>
      </c>
      <c r="AA695" s="19">
        <v>1</v>
      </c>
      <c r="AB695" s="19">
        <v>1</v>
      </c>
      <c r="AC695" s="19" t="s">
        <v>60</v>
      </c>
      <c r="AD695" s="19" t="s">
        <v>410</v>
      </c>
      <c r="AE695" s="19" t="s">
        <v>1202</v>
      </c>
      <c r="AF695" s="19"/>
    </row>
    <row r="696" spans="1:34" customHeight="1" ht="42">
      <c r="A696" s="19">
        <v>686</v>
      </c>
      <c r="B696" s="19" t="s">
        <v>1202</v>
      </c>
      <c r="C696" s="19" t="s">
        <v>2087</v>
      </c>
      <c r="D696" s="19" t="str">
        <f>HYPERLINK("http://www.henontech.com/fieldsafety/harzard/harzard_show.php?rid=16187&amp;url=harzardrecs.php","维修工在结晶槽顶工作时，不小心扳手滑落砸到一名巡检工肩膀，住院治疗7天，损工一月")</f>
        <v>维修工在结晶槽顶工作时，不小心扳手滑落砸到一名巡检工肩膀，住院治疗7天，损工一月</v>
      </c>
      <c r="E696" s="19" t="s">
        <v>2988</v>
      </c>
      <c r="F696" s="25" t="s">
        <v>1853</v>
      </c>
      <c r="G696" s="21" t="s">
        <v>43</v>
      </c>
      <c r="H696" s="19" t="s">
        <v>44</v>
      </c>
      <c r="I696" s="19" t="s">
        <v>67</v>
      </c>
      <c r="J696" s="19" t="s">
        <v>46</v>
      </c>
      <c r="K696" s="19" t="s">
        <v>69</v>
      </c>
      <c r="L696" s="19" t="s">
        <v>48</v>
      </c>
      <c r="M696" s="19" t="s">
        <v>84</v>
      </c>
      <c r="N696" s="19" t="s">
        <v>850</v>
      </c>
      <c r="O696" s="19" t="s">
        <v>84</v>
      </c>
      <c r="P696" s="19" t="s">
        <v>85</v>
      </c>
      <c r="Q696" s="19" t="s">
        <v>2179</v>
      </c>
      <c r="R696" s="19" t="s">
        <v>2989</v>
      </c>
      <c r="S696" s="19"/>
      <c r="T696" s="19" t="s">
        <v>54</v>
      </c>
      <c r="U696" s="19" t="s">
        <v>75</v>
      </c>
      <c r="V696" s="19" t="s">
        <v>56</v>
      </c>
      <c r="W696" s="19" t="s">
        <v>138</v>
      </c>
      <c r="X696" s="19" t="s">
        <v>58</v>
      </c>
      <c r="Y696" s="19"/>
      <c r="Z696" s="19" t="s">
        <v>2990</v>
      </c>
      <c r="AA696" s="19">
        <v>2</v>
      </c>
      <c r="AB696" s="19"/>
      <c r="AC696" s="19" t="s">
        <v>392</v>
      </c>
      <c r="AD696" s="19"/>
      <c r="AE696" s="19"/>
      <c r="AF696" s="19"/>
    </row>
    <row r="697" spans="1:34">
      <c r="A697" s="19">
        <v>687</v>
      </c>
      <c r="B697" s="19" t="s">
        <v>1202</v>
      </c>
      <c r="C697" s="19" t="s">
        <v>1090</v>
      </c>
      <c r="D697" s="19" t="str">
        <f>HYPERLINK("http://www.henontech.com/fieldsafety/harzard/harzard_show.php?rid=16196&amp;url=harzardrecs.php","一外协人员在南脱硫南框架上，紧固螺栓，因安全带未规范使用（高挂低用 ），在紧固螺栓时，因用力过猛滑扳，导致脚下站立不稳滑倒，被安全带勒伤腰部，送医治疗三天。休息五天上班。")</f>
        <v>一外协人员在南脱硫南框架上，紧固螺栓，因安全带未规范使用（高挂低用 ），在紧固螺栓时，因用力过猛滑扳，导致脚下站立不稳滑倒，被安全带勒伤腰部，送医治疗三天。休息五天上班。</v>
      </c>
      <c r="E697" s="19" t="s">
        <v>2991</v>
      </c>
      <c r="F697" s="25" t="s">
        <v>1853</v>
      </c>
      <c r="G697" s="22" t="s">
        <v>66</v>
      </c>
      <c r="H697" s="19" t="s">
        <v>44</v>
      </c>
      <c r="I697" s="19" t="s">
        <v>45</v>
      </c>
      <c r="J697" s="19" t="s">
        <v>68</v>
      </c>
      <c r="K697" s="19" t="s">
        <v>69</v>
      </c>
      <c r="L697" s="19" t="s">
        <v>48</v>
      </c>
      <c r="M697" s="19" t="s">
        <v>70</v>
      </c>
      <c r="N697" s="19" t="s">
        <v>477</v>
      </c>
      <c r="O697" s="19" t="s">
        <v>70</v>
      </c>
      <c r="P697" s="19" t="s">
        <v>72</v>
      </c>
      <c r="Q697" s="19" t="s">
        <v>2992</v>
      </c>
      <c r="R697" s="19" t="s">
        <v>2993</v>
      </c>
      <c r="S697" s="19"/>
      <c r="T697" s="19" t="s">
        <v>54</v>
      </c>
      <c r="U697" s="19" t="s">
        <v>55</v>
      </c>
      <c r="V697" s="19" t="s">
        <v>56</v>
      </c>
      <c r="W697" s="19" t="s">
        <v>57</v>
      </c>
      <c r="X697" s="19"/>
      <c r="Y697" s="19"/>
      <c r="Z697" s="19" t="s">
        <v>2994</v>
      </c>
      <c r="AA697" s="19">
        <v>1</v>
      </c>
      <c r="AB697" s="19"/>
      <c r="AC697" s="19" t="s">
        <v>392</v>
      </c>
      <c r="AD697" s="19"/>
      <c r="AE697" s="19"/>
      <c r="AF697" s="19"/>
    </row>
    <row r="698" spans="1:34">
      <c r="A698" s="19">
        <v>688</v>
      </c>
      <c r="B698" s="19" t="s">
        <v>1202</v>
      </c>
      <c r="C698" s="19" t="s">
        <v>1925</v>
      </c>
      <c r="D698" s="19" t="str">
        <f>HYPERLINK("http://www.henontech.com/fieldsafety/harzard/harzard_show.php?rid=16201&amp;url=harzardrecs.php","煤厂料口处钢筋翘起，操作工经过时一旦绊倒造成右小腿擦伤，休息一会后不影响工作")</f>
        <v>煤厂料口处钢筋翘起，操作工经过时一旦绊倒造成右小腿擦伤，休息一会后不影响工作</v>
      </c>
      <c r="E698" s="19" t="s">
        <v>2995</v>
      </c>
      <c r="F698" s="20" t="s">
        <v>42</v>
      </c>
      <c r="G698" s="21" t="s">
        <v>43</v>
      </c>
      <c r="H698" s="19" t="s">
        <v>44</v>
      </c>
      <c r="I698" s="19" t="s">
        <v>45</v>
      </c>
      <c r="J698" s="19"/>
      <c r="K698" s="19" t="s">
        <v>69</v>
      </c>
      <c r="L698" s="19" t="s">
        <v>48</v>
      </c>
      <c r="M698" s="19" t="s">
        <v>285</v>
      </c>
      <c r="N698" s="19" t="s">
        <v>2996</v>
      </c>
      <c r="O698" s="19" t="s">
        <v>285</v>
      </c>
      <c r="P698" s="19" t="s">
        <v>419</v>
      </c>
      <c r="Q698" s="19" t="s">
        <v>1322</v>
      </c>
      <c r="R698" s="19" t="s">
        <v>2997</v>
      </c>
      <c r="S698" s="19"/>
      <c r="T698" s="19" t="s">
        <v>54</v>
      </c>
      <c r="U698" s="19" t="s">
        <v>75</v>
      </c>
      <c r="V698" s="19" t="s">
        <v>76</v>
      </c>
      <c r="W698" s="19" t="s">
        <v>77</v>
      </c>
      <c r="X698" s="19"/>
      <c r="Y698" s="19"/>
      <c r="Z698" s="19" t="s">
        <v>2998</v>
      </c>
      <c r="AA698" s="19">
        <v>1</v>
      </c>
      <c r="AB698" s="19">
        <v>1</v>
      </c>
      <c r="AC698" s="19" t="s">
        <v>60</v>
      </c>
      <c r="AD698" s="19" t="s">
        <v>419</v>
      </c>
      <c r="AE698" s="19" t="s">
        <v>1322</v>
      </c>
      <c r="AF698" s="19"/>
    </row>
    <row r="699" spans="1:34">
      <c r="A699" s="19">
        <v>689</v>
      </c>
      <c r="B699" s="19" t="s">
        <v>1202</v>
      </c>
      <c r="C699" s="19" t="s">
        <v>380</v>
      </c>
      <c r="D699" s="19" t="str">
        <f>HYPERLINK("http://www.henontech.com/fieldsafety/harzard/harzard_show.php?rid=16214&amp;url=harzardrecs.php","煤九爬梯未设警示标志，职工攀登时，一旦不慎脚下打滑摔倒，会造成手臂轻微擦伤，到医务室敷药后继续上岗作业。")</f>
        <v>煤九爬梯未设警示标志，职工攀登时，一旦不慎脚下打滑摔倒，会造成手臂轻微擦伤，到医务室敷药后继续上岗作业。</v>
      </c>
      <c r="E699" s="19" t="s">
        <v>2999</v>
      </c>
      <c r="F699" s="20" t="s">
        <v>42</v>
      </c>
      <c r="G699" s="21" t="s">
        <v>43</v>
      </c>
      <c r="H699" s="19" t="s">
        <v>44</v>
      </c>
      <c r="I699" s="19" t="s">
        <v>45</v>
      </c>
      <c r="J699" s="19" t="s">
        <v>46</v>
      </c>
      <c r="K699" s="19" t="s">
        <v>145</v>
      </c>
      <c r="L699" s="19" t="s">
        <v>573</v>
      </c>
      <c r="M699" s="19" t="s">
        <v>285</v>
      </c>
      <c r="N699" s="19" t="s">
        <v>3000</v>
      </c>
      <c r="O699" s="19" t="s">
        <v>285</v>
      </c>
      <c r="P699" s="19" t="s">
        <v>419</v>
      </c>
      <c r="Q699" s="19" t="s">
        <v>1322</v>
      </c>
      <c r="R699" s="19" t="s">
        <v>2702</v>
      </c>
      <c r="S699" s="19"/>
      <c r="T699" s="19" t="s">
        <v>54</v>
      </c>
      <c r="U699" s="19" t="s">
        <v>75</v>
      </c>
      <c r="V699" s="19" t="s">
        <v>101</v>
      </c>
      <c r="W699" s="19" t="s">
        <v>77</v>
      </c>
      <c r="X699" s="19"/>
      <c r="Y699" s="19"/>
      <c r="Z699" s="19" t="s">
        <v>3001</v>
      </c>
      <c r="AA699" s="19">
        <v>1</v>
      </c>
      <c r="AB699" s="19">
        <v>1</v>
      </c>
      <c r="AC699" s="19" t="s">
        <v>60</v>
      </c>
      <c r="AD699" s="19" t="s">
        <v>419</v>
      </c>
      <c r="AE699" s="19" t="s">
        <v>1322</v>
      </c>
      <c r="AF699" s="19"/>
    </row>
    <row r="700" spans="1:34">
      <c r="A700" s="19">
        <v>690</v>
      </c>
      <c r="B700" s="19" t="s">
        <v>1202</v>
      </c>
      <c r="C700" s="19" t="s">
        <v>2002</v>
      </c>
      <c r="D700" s="19" t="str">
        <f>HYPERLINK("http://www.henontech.com/fieldsafety/harzard/harzard_show.php?rid=16215&amp;url=harzardrecs.php","北循环水，北侧管架上方旧管线断裂坠落，如果一名操作人员在巡检作业，可能被四管线绊倒摔伤，送医院检查，左手骨裂，住院治疗一周后康复。")</f>
        <v>北循环水，北侧管架上方旧管线断裂坠落，如果一名操作人员在巡检作业，可能被四管线绊倒摔伤，送医院检查，左手骨裂，住院治疗一周后康复。</v>
      </c>
      <c r="E700" s="19" t="s">
        <v>3002</v>
      </c>
      <c r="F700" s="20" t="s">
        <v>42</v>
      </c>
      <c r="G700" s="21" t="s">
        <v>43</v>
      </c>
      <c r="H700" s="19" t="s">
        <v>44</v>
      </c>
      <c r="I700" s="19" t="s">
        <v>67</v>
      </c>
      <c r="J700" s="19" t="s">
        <v>46</v>
      </c>
      <c r="K700" s="19" t="s">
        <v>47</v>
      </c>
      <c r="L700" s="19" t="s">
        <v>48</v>
      </c>
      <c r="M700" s="19" t="s">
        <v>70</v>
      </c>
      <c r="N700" s="19" t="s">
        <v>2098</v>
      </c>
      <c r="O700" s="19" t="s">
        <v>70</v>
      </c>
      <c r="P700" s="19" t="s">
        <v>72</v>
      </c>
      <c r="Q700" s="19" t="s">
        <v>2992</v>
      </c>
      <c r="R700" s="19" t="s">
        <v>3003</v>
      </c>
      <c r="S700" s="19"/>
      <c r="T700" s="19" t="s">
        <v>54</v>
      </c>
      <c r="U700" s="19" t="s">
        <v>55</v>
      </c>
      <c r="V700" s="19" t="s">
        <v>56</v>
      </c>
      <c r="W700" s="19" t="s">
        <v>57</v>
      </c>
      <c r="X700" s="19"/>
      <c r="Y700" s="19"/>
      <c r="Z700" s="19" t="s">
        <v>3004</v>
      </c>
      <c r="AA700" s="19">
        <v>1</v>
      </c>
      <c r="AB700" s="19">
        <v>1</v>
      </c>
      <c r="AC700" s="19" t="s">
        <v>60</v>
      </c>
      <c r="AD700" s="19" t="s">
        <v>72</v>
      </c>
      <c r="AE700" s="19" t="s">
        <v>1080</v>
      </c>
      <c r="AF700" s="19"/>
    </row>
    <row r="701" spans="1:34">
      <c r="A701" s="19">
        <v>691</v>
      </c>
      <c r="B701" s="19" t="s">
        <v>1202</v>
      </c>
      <c r="C701" s="19" t="s">
        <v>2636</v>
      </c>
      <c r="D701" s="19" t="str">
        <f>HYPERLINK("http://www.henontech.com/fieldsafety/harzard/harzard_show.php?rid=16216&amp;url=harzardrecs.php","南循环水轴流风扇油管破裂，一名维修人员工作时，用力过猛导致一根腿踩进铁梯缝隙中导致腿部擦伤，去医务室简单处理，正常工作")</f>
        <v>南循环水轴流风扇油管破裂，一名维修人员工作时，用力过猛导致一根腿踩进铁梯缝隙中导致腿部擦伤，去医务室简单处理，正常工作</v>
      </c>
      <c r="E701" s="19" t="s">
        <v>3005</v>
      </c>
      <c r="F701" s="20" t="s">
        <v>42</v>
      </c>
      <c r="G701" s="21" t="s">
        <v>43</v>
      </c>
      <c r="H701" s="19" t="s">
        <v>44</v>
      </c>
      <c r="I701" s="19" t="s">
        <v>45</v>
      </c>
      <c r="J701" s="19" t="s">
        <v>46</v>
      </c>
      <c r="K701" s="19" t="s">
        <v>145</v>
      </c>
      <c r="L701" s="19"/>
      <c r="M701" s="19" t="s">
        <v>70</v>
      </c>
      <c r="N701" s="19" t="s">
        <v>3006</v>
      </c>
      <c r="O701" s="19" t="s">
        <v>70</v>
      </c>
      <c r="P701" s="19" t="s">
        <v>72</v>
      </c>
      <c r="Q701" s="19" t="s">
        <v>2992</v>
      </c>
      <c r="R701" s="19" t="s">
        <v>1693</v>
      </c>
      <c r="S701" s="19"/>
      <c r="T701" s="19" t="s">
        <v>54</v>
      </c>
      <c r="U701" s="19" t="s">
        <v>192</v>
      </c>
      <c r="V701" s="19" t="s">
        <v>101</v>
      </c>
      <c r="W701" s="19" t="s">
        <v>77</v>
      </c>
      <c r="X701" s="19"/>
      <c r="Y701" s="19"/>
      <c r="Z701" s="19" t="s">
        <v>3007</v>
      </c>
      <c r="AA701" s="19">
        <v>1</v>
      </c>
      <c r="AB701" s="19">
        <v>1</v>
      </c>
      <c r="AC701" s="19" t="s">
        <v>60</v>
      </c>
      <c r="AD701" s="19" t="s">
        <v>72</v>
      </c>
      <c r="AE701" s="19" t="s">
        <v>1080</v>
      </c>
      <c r="AF701" s="19"/>
    </row>
    <row r="702" spans="1:34">
      <c r="A702" s="19">
        <v>692</v>
      </c>
      <c r="B702" s="19" t="s">
        <v>1202</v>
      </c>
      <c r="C702" s="19" t="s">
        <v>380</v>
      </c>
      <c r="D702" s="19" t="str">
        <f>HYPERLINK("http://www.henontech.com/fieldsafety/harzard/harzard_show.php?rid=16218&amp;url=harzardrecs.php","1618  2#破碎机返击板已到使用周期，一旦继续使用，将会造成破碎机粒度超标，影响焦炭质量，造成经济损失。")</f>
        <v>1618  2#破碎机返击板已到使用周期，一旦继续使用，将会造成破碎机粒度超标，影响焦炭质量，造成经济损失。</v>
      </c>
      <c r="E702" s="19" t="s">
        <v>3008</v>
      </c>
      <c r="F702" s="20" t="s">
        <v>42</v>
      </c>
      <c r="G702" s="21" t="s">
        <v>43</v>
      </c>
      <c r="H702" s="19" t="s">
        <v>44</v>
      </c>
      <c r="I702" s="19" t="s">
        <v>67</v>
      </c>
      <c r="J702" s="19" t="s">
        <v>334</v>
      </c>
      <c r="K702" s="19" t="s">
        <v>47</v>
      </c>
      <c r="L702" s="19" t="s">
        <v>48</v>
      </c>
      <c r="M702" s="19" t="s">
        <v>285</v>
      </c>
      <c r="N702" s="19" t="s">
        <v>3009</v>
      </c>
      <c r="O702" s="19" t="s">
        <v>285</v>
      </c>
      <c r="P702" s="19" t="s">
        <v>419</v>
      </c>
      <c r="Q702" s="19" t="s">
        <v>1322</v>
      </c>
      <c r="R702" s="19" t="s">
        <v>3010</v>
      </c>
      <c r="S702" s="19"/>
      <c r="T702" s="19" t="s">
        <v>100</v>
      </c>
      <c r="U702" s="19" t="s">
        <v>75</v>
      </c>
      <c r="V702" s="19" t="s">
        <v>56</v>
      </c>
      <c r="W702" s="19" t="s">
        <v>138</v>
      </c>
      <c r="X702" s="19"/>
      <c r="Y702" s="19"/>
      <c r="Z702" s="19" t="s">
        <v>3011</v>
      </c>
      <c r="AA702" s="19">
        <v>1</v>
      </c>
      <c r="AB702" s="19">
        <v>1</v>
      </c>
      <c r="AC702" s="19" t="s">
        <v>60</v>
      </c>
      <c r="AD702" s="19" t="s">
        <v>419</v>
      </c>
      <c r="AE702" s="19" t="s">
        <v>1322</v>
      </c>
      <c r="AF702" s="19"/>
    </row>
    <row r="703" spans="1:34">
      <c r="A703" s="19">
        <v>693</v>
      </c>
      <c r="B703" s="19" t="s">
        <v>1202</v>
      </c>
      <c r="C703" s="19" t="s">
        <v>2880</v>
      </c>
      <c r="D703" s="19" t="str">
        <f>HYPERLINK("http://www.henontech.com/fieldsafety/harzard/harzard_show.php?rid=16220&amp;url=harzardrecs.php","75T锅炉渣库爬梯未加防滑钢筋，一名操作工在爬爬梯准备放渣时，由于雨天爬梯湿滑不小心从爬梯处滑下，造成左臂和左小腿骨折，同事送医院治疗。")</f>
        <v>75T锅炉渣库爬梯未加防滑钢筋，一名操作工在爬爬梯准备放渣时，由于雨天爬梯湿滑不小心从爬梯处滑下，造成左臂和左小腿骨折，同事送医院治疗。</v>
      </c>
      <c r="E703" s="19" t="s">
        <v>2608</v>
      </c>
      <c r="F703" s="24" t="s">
        <v>387</v>
      </c>
      <c r="G703" s="21" t="s">
        <v>43</v>
      </c>
      <c r="H703" s="19" t="s">
        <v>44</v>
      </c>
      <c r="I703" s="19" t="s">
        <v>67</v>
      </c>
      <c r="J703" s="19" t="s">
        <v>46</v>
      </c>
      <c r="K703" s="19" t="s">
        <v>47</v>
      </c>
      <c r="L703" s="19" t="s">
        <v>48</v>
      </c>
      <c r="M703" s="19" t="s">
        <v>84</v>
      </c>
      <c r="N703" s="19" t="s">
        <v>3012</v>
      </c>
      <c r="O703" s="19"/>
      <c r="P703" s="19"/>
      <c r="Q703" s="19"/>
      <c r="R703" s="19" t="s">
        <v>3013</v>
      </c>
      <c r="S703" s="19" t="s">
        <v>2095</v>
      </c>
      <c r="T703" s="19" t="s">
        <v>54</v>
      </c>
      <c r="U703" s="19" t="s">
        <v>55</v>
      </c>
      <c r="V703" s="19" t="s">
        <v>56</v>
      </c>
      <c r="W703" s="19" t="s">
        <v>57</v>
      </c>
      <c r="X703" s="19"/>
      <c r="Y703" s="19"/>
      <c r="Z703" s="19"/>
      <c r="AA703" s="19">
        <v>0</v>
      </c>
      <c r="AB703" s="19"/>
      <c r="AC703" s="19" t="s">
        <v>392</v>
      </c>
      <c r="AD703" s="19"/>
      <c r="AE703" s="19"/>
      <c r="AF703" s="19"/>
    </row>
    <row r="704" spans="1:34">
      <c r="A704" s="19">
        <v>694</v>
      </c>
      <c r="B704" s="19" t="s">
        <v>1202</v>
      </c>
      <c r="C704" s="19" t="s">
        <v>2005</v>
      </c>
      <c r="D704" s="19" t="str">
        <f>HYPERLINK("http://www.henontech.com/fieldsafety/harzard/harzard_show.php?rid=16232&amp;url=harzardrecs.php","洗车器上方管道损坏坠落，管道突然断裂坠落，运煤车辆途径时，一旦被管道砸中，会导致车体受损经济损失500元。")</f>
        <v>洗车器上方管道损坏坠落，管道突然断裂坠落，运煤车辆途径时，一旦被管道砸中，会导致车体受损经济损失500元。</v>
      </c>
      <c r="E704" s="19" t="s">
        <v>3014</v>
      </c>
      <c r="F704" s="20" t="s">
        <v>42</v>
      </c>
      <c r="G704" s="22" t="s">
        <v>66</v>
      </c>
      <c r="H704" s="19" t="s">
        <v>44</v>
      </c>
      <c r="I704" s="19" t="s">
        <v>67</v>
      </c>
      <c r="J704" s="19" t="s">
        <v>401</v>
      </c>
      <c r="K704" s="19" t="s">
        <v>69</v>
      </c>
      <c r="L704" s="19" t="s">
        <v>48</v>
      </c>
      <c r="M704" s="19" t="s">
        <v>285</v>
      </c>
      <c r="N704" s="19" t="s">
        <v>3015</v>
      </c>
      <c r="O704" s="19" t="s">
        <v>285</v>
      </c>
      <c r="P704" s="19" t="s">
        <v>419</v>
      </c>
      <c r="Q704" s="19" t="s">
        <v>1322</v>
      </c>
      <c r="R704" s="19" t="s">
        <v>3016</v>
      </c>
      <c r="S704" s="19"/>
      <c r="T704" s="19" t="s">
        <v>100</v>
      </c>
      <c r="U704" s="19" t="s">
        <v>192</v>
      </c>
      <c r="V704" s="19" t="s">
        <v>101</v>
      </c>
      <c r="W704" s="19" t="s">
        <v>77</v>
      </c>
      <c r="X704" s="19"/>
      <c r="Y704" s="19"/>
      <c r="Z704" s="19" t="s">
        <v>3017</v>
      </c>
      <c r="AA704" s="19">
        <v>1</v>
      </c>
      <c r="AB704" s="19">
        <v>1</v>
      </c>
      <c r="AC704" s="19" t="s">
        <v>60</v>
      </c>
      <c r="AD704" s="19" t="s">
        <v>419</v>
      </c>
      <c r="AE704" s="19" t="s">
        <v>1322</v>
      </c>
      <c r="AF704" s="19"/>
    </row>
    <row r="705" spans="1:34" customHeight="1" ht="42">
      <c r="A705" s="19">
        <v>695</v>
      </c>
      <c r="B705" s="19" t="s">
        <v>1202</v>
      </c>
      <c r="C705" s="19" t="s">
        <v>1827</v>
      </c>
      <c r="D705" s="19" t="str">
        <f>HYPERLINK("http://www.henontech.com/fieldsafety/harzard/harzard_show.php?rid=16237&amp;url=harzardrecs.php","液碱计量泵出口活结漏液，操作人员去巡检计量泵时，因夜间视线不良未发现，因劳保着装规范整齐，液碱喷溅到操作人员衣服上，及时脱去衣物，用大量清水清洗，未造成人员伤害。")</f>
        <v>液碱计量泵出口活结漏液，操作人员去巡检计量泵时，因夜间视线不良未发现，因劳保着装规范整齐，液碱喷溅到操作人员衣服上，及时脱去衣物，用大量清水清洗，未造成人员伤害。</v>
      </c>
      <c r="E705" s="19" t="s">
        <v>3018</v>
      </c>
      <c r="F705" s="20" t="s">
        <v>42</v>
      </c>
      <c r="G705" s="22" t="s">
        <v>66</v>
      </c>
      <c r="H705" s="19" t="s">
        <v>44</v>
      </c>
      <c r="I705" s="19" t="s">
        <v>45</v>
      </c>
      <c r="J705" s="19" t="s">
        <v>1998</v>
      </c>
      <c r="K705" s="19" t="s">
        <v>145</v>
      </c>
      <c r="L705" s="19"/>
      <c r="M705" s="19" t="s">
        <v>49</v>
      </c>
      <c r="N705" s="19" t="s">
        <v>329</v>
      </c>
      <c r="O705" s="19" t="s">
        <v>49</v>
      </c>
      <c r="P705" s="19" t="s">
        <v>1909</v>
      </c>
      <c r="Q705" s="19" t="s">
        <v>2132</v>
      </c>
      <c r="R705" s="19" t="s">
        <v>3019</v>
      </c>
      <c r="S705" s="19"/>
      <c r="T705" s="19" t="s">
        <v>54</v>
      </c>
      <c r="U705" s="19" t="s">
        <v>192</v>
      </c>
      <c r="V705" s="19" t="s">
        <v>271</v>
      </c>
      <c r="W705" s="19" t="s">
        <v>77</v>
      </c>
      <c r="X705" s="19" t="s">
        <v>58</v>
      </c>
      <c r="Y705" s="19" t="s">
        <v>58</v>
      </c>
      <c r="Z705" s="19" t="s">
        <v>3020</v>
      </c>
      <c r="AA705" s="19">
        <v>2</v>
      </c>
      <c r="AB705" s="19">
        <v>2</v>
      </c>
      <c r="AC705" s="19" t="s">
        <v>60</v>
      </c>
      <c r="AD705" s="19" t="s">
        <v>1909</v>
      </c>
      <c r="AE705" s="19" t="s">
        <v>1202</v>
      </c>
      <c r="AF705" s="19"/>
    </row>
    <row r="706" spans="1:34">
      <c r="A706" s="19">
        <v>696</v>
      </c>
      <c r="B706" s="19" t="s">
        <v>1080</v>
      </c>
      <c r="C706" s="19" t="s">
        <v>2569</v>
      </c>
      <c r="D706" s="19" t="str">
        <f>HYPERLINK("http://www.henontech.com/fieldsafety/harzard/harzard_show.php?rid=16239&amp;url=harzardrecs.php","一维修工在修理絮凝剂加药管时药液喷出，溅入眼中")</f>
        <v>一维修工在修理絮凝剂加药管时药液喷出，溅入眼中</v>
      </c>
      <c r="E706" s="19" t="s">
        <v>3021</v>
      </c>
      <c r="F706" s="24" t="s">
        <v>387</v>
      </c>
      <c r="G706" s="21" t="s">
        <v>43</v>
      </c>
      <c r="H706" s="19" t="s">
        <v>44</v>
      </c>
      <c r="I706" s="19"/>
      <c r="J706" s="19" t="s">
        <v>1998</v>
      </c>
      <c r="K706" s="19" t="s">
        <v>145</v>
      </c>
      <c r="L706" s="19"/>
      <c r="M706" s="19" t="s">
        <v>84</v>
      </c>
      <c r="N706" s="19" t="s">
        <v>3022</v>
      </c>
      <c r="O706" s="19"/>
      <c r="P706" s="19"/>
      <c r="Q706" s="19"/>
      <c r="R706" s="19" t="s">
        <v>3023</v>
      </c>
      <c r="S706" s="19" t="s">
        <v>2095</v>
      </c>
      <c r="T706" s="19" t="s">
        <v>54</v>
      </c>
      <c r="U706" s="19" t="s">
        <v>75</v>
      </c>
      <c r="V706" s="19" t="s">
        <v>101</v>
      </c>
      <c r="W706" s="19" t="s">
        <v>77</v>
      </c>
      <c r="X706" s="19"/>
      <c r="Y706" s="19"/>
      <c r="Z706" s="19"/>
      <c r="AA706" s="19">
        <v>0</v>
      </c>
      <c r="AB706" s="19"/>
      <c r="AC706" s="19" t="s">
        <v>392</v>
      </c>
      <c r="AD706" s="19"/>
      <c r="AE706" s="19"/>
      <c r="AF706" s="19"/>
    </row>
    <row r="707" spans="1:34">
      <c r="A707" s="19">
        <v>697</v>
      </c>
      <c r="B707" s="19" t="s">
        <v>1080</v>
      </c>
      <c r="C707" s="19" t="s">
        <v>1111</v>
      </c>
      <c r="D707" s="19" t="str">
        <f>HYPERLINK("http://www.henontech.com/fieldsafety/harzard/harzard_show.php?rid=16240&amp;url=harzardrecs.php","二楼离心机下液管法兰垫子破损，当操作工开机出料时，下液管中母液从破损处喷溅，造成眼部轻度灼伤，送医治疗，损工7天。")</f>
        <v>二楼离心机下液管法兰垫子破损，当操作工开机出料时，下液管中母液从破损处喷溅，造成眼部轻度灼伤，送医治疗，损工7天。</v>
      </c>
      <c r="E707" s="19" t="s">
        <v>3024</v>
      </c>
      <c r="F707" s="25" t="s">
        <v>1853</v>
      </c>
      <c r="G707" s="21" t="s">
        <v>43</v>
      </c>
      <c r="H707" s="19" t="s">
        <v>44</v>
      </c>
      <c r="I707" s="19" t="s">
        <v>45</v>
      </c>
      <c r="J707" s="19" t="s">
        <v>46</v>
      </c>
      <c r="K707" s="19" t="s">
        <v>145</v>
      </c>
      <c r="L707" s="19" t="s">
        <v>48</v>
      </c>
      <c r="M707" s="19" t="s">
        <v>70</v>
      </c>
      <c r="N707" s="19" t="s">
        <v>3025</v>
      </c>
      <c r="O707" s="19" t="s">
        <v>70</v>
      </c>
      <c r="P707" s="19" t="s">
        <v>72</v>
      </c>
      <c r="Q707" s="19" t="s">
        <v>2992</v>
      </c>
      <c r="R707" s="19" t="s">
        <v>3026</v>
      </c>
      <c r="S707" s="19"/>
      <c r="T707" s="19" t="s">
        <v>54</v>
      </c>
      <c r="U707" s="19" t="s">
        <v>55</v>
      </c>
      <c r="V707" s="19" t="s">
        <v>56</v>
      </c>
      <c r="W707" s="19" t="s">
        <v>57</v>
      </c>
      <c r="X707" s="19"/>
      <c r="Y707" s="19"/>
      <c r="Z707" s="19" t="s">
        <v>3027</v>
      </c>
      <c r="AA707" s="19">
        <v>1</v>
      </c>
      <c r="AB707" s="19"/>
      <c r="AC707" s="19" t="s">
        <v>392</v>
      </c>
      <c r="AD707" s="19"/>
      <c r="AE707" s="19"/>
      <c r="AF707" s="19"/>
    </row>
    <row r="708" spans="1:34">
      <c r="A708" s="19">
        <v>698</v>
      </c>
      <c r="B708" s="19" t="s">
        <v>1080</v>
      </c>
      <c r="C708" s="19" t="s">
        <v>1090</v>
      </c>
      <c r="D708" s="19" t="str">
        <f>HYPERLINK("http://www.henontech.com/fieldsafety/harzard/harzard_show.php?rid=16241&amp;url=harzardrecs.php","南脱硫循环槽上部人孔处，用于气体置换的轴流风扇电缆接头破损，如果遇到雷雨天气，电缆接头遇水连电，造成一名正在循环槽巡检的操作人员触电休克，送医治疗一周后康复。")</f>
        <v>南脱硫循环槽上部人孔处，用于气体置换的轴流风扇电缆接头破损，如果遇到雷雨天气，电缆接头遇水连电，造成一名正在循环槽巡检的操作人员触电休克，送医治疗一周后康复。</v>
      </c>
      <c r="E708" s="19" t="s">
        <v>3028</v>
      </c>
      <c r="F708" s="25" t="s">
        <v>1853</v>
      </c>
      <c r="G708" s="21" t="s">
        <v>43</v>
      </c>
      <c r="H708" s="19" t="s">
        <v>44</v>
      </c>
      <c r="I708" s="19" t="s">
        <v>45</v>
      </c>
      <c r="J708" s="19" t="s">
        <v>46</v>
      </c>
      <c r="K708" s="19"/>
      <c r="L708" s="19"/>
      <c r="M708" s="19" t="s">
        <v>70</v>
      </c>
      <c r="N708" s="19" t="s">
        <v>3029</v>
      </c>
      <c r="O708" s="19" t="s">
        <v>70</v>
      </c>
      <c r="P708" s="19" t="s">
        <v>72</v>
      </c>
      <c r="Q708" s="19" t="s">
        <v>2992</v>
      </c>
      <c r="R708" s="19" t="s">
        <v>3030</v>
      </c>
      <c r="S708" s="19"/>
      <c r="T708" s="19" t="s">
        <v>54</v>
      </c>
      <c r="U708" s="19" t="s">
        <v>55</v>
      </c>
      <c r="V708" s="19" t="s">
        <v>56</v>
      </c>
      <c r="W708" s="19" t="s">
        <v>57</v>
      </c>
      <c r="X708" s="19"/>
      <c r="Y708" s="19"/>
      <c r="Z708" s="19" t="s">
        <v>3031</v>
      </c>
      <c r="AA708" s="19">
        <v>1</v>
      </c>
      <c r="AB708" s="19"/>
      <c r="AC708" s="19" t="s">
        <v>392</v>
      </c>
      <c r="AD708" s="19"/>
      <c r="AE708" s="19"/>
      <c r="AF708" s="19"/>
    </row>
    <row r="709" spans="1:34" customHeight="1" ht="42">
      <c r="A709" s="19">
        <v>699</v>
      </c>
      <c r="B709" s="19" t="s">
        <v>1080</v>
      </c>
      <c r="C709" s="19" t="s">
        <v>2880</v>
      </c>
      <c r="D709" s="19" t="str">
        <f>HYPERLINK("http://www.henontech.com/fieldsafety/harzard/harzard_show.php?rid=16242&amp;url=harzardrecs.php","一名操作工在巡检时，不慎被乱放的电缆架盖板给绊倒，造成右手前臂骨折。")</f>
        <v>一名操作工在巡检时，不慎被乱放的电缆架盖板给绊倒，造成右手前臂骨折。</v>
      </c>
      <c r="E709" s="19" t="s">
        <v>3032</v>
      </c>
      <c r="F709" s="25" t="s">
        <v>1853</v>
      </c>
      <c r="G709" s="21" t="s">
        <v>43</v>
      </c>
      <c r="H709" s="19" t="s">
        <v>44</v>
      </c>
      <c r="I709" s="19" t="s">
        <v>45</v>
      </c>
      <c r="J709" s="19" t="s">
        <v>46</v>
      </c>
      <c r="K709" s="19" t="s">
        <v>69</v>
      </c>
      <c r="L709" s="19"/>
      <c r="M709" s="19" t="s">
        <v>84</v>
      </c>
      <c r="N709" s="19" t="s">
        <v>3033</v>
      </c>
      <c r="O709" s="19" t="s">
        <v>84</v>
      </c>
      <c r="P709" s="19" t="s">
        <v>809</v>
      </c>
      <c r="Q709" s="19" t="s">
        <v>2179</v>
      </c>
      <c r="R709" s="19" t="s">
        <v>3034</v>
      </c>
      <c r="S709" s="19"/>
      <c r="T709" s="19" t="s">
        <v>54</v>
      </c>
      <c r="U709" s="19" t="s">
        <v>55</v>
      </c>
      <c r="V709" s="19" t="s">
        <v>56</v>
      </c>
      <c r="W709" s="19" t="s">
        <v>57</v>
      </c>
      <c r="X709" s="19" t="s">
        <v>58</v>
      </c>
      <c r="Y709" s="19"/>
      <c r="Z709" s="19" t="s">
        <v>2871</v>
      </c>
      <c r="AA709" s="19">
        <v>2</v>
      </c>
      <c r="AB709" s="19"/>
      <c r="AC709" s="19" t="s">
        <v>392</v>
      </c>
      <c r="AD709" s="19"/>
      <c r="AE709" s="19"/>
      <c r="AF709" s="19"/>
    </row>
    <row r="710" spans="1:34" customHeight="1" ht="42">
      <c r="A710" s="19">
        <v>700</v>
      </c>
      <c r="B710" s="19" t="s">
        <v>1080</v>
      </c>
      <c r="C710" s="19" t="s">
        <v>2107</v>
      </c>
      <c r="D710" s="19" t="str">
        <f>HYPERLINK("http://www.henontech.com/fieldsafety/harzard/harzard_show.php?rid=16243&amp;url=harzardrecs.php","一员工夜间巡检时，不慎被梯子拌倒，面部着地，碰掉门牙一颗，住院治疗IO天。")</f>
        <v>一员工夜间巡检时，不慎被梯子拌倒，面部着地，碰掉门牙一颗，住院治疗IO天。</v>
      </c>
      <c r="E710" s="19" t="s">
        <v>3035</v>
      </c>
      <c r="F710" s="25" t="s">
        <v>1853</v>
      </c>
      <c r="G710" s="21" t="s">
        <v>43</v>
      </c>
      <c r="H710" s="19" t="s">
        <v>44</v>
      </c>
      <c r="I710" s="19" t="s">
        <v>83</v>
      </c>
      <c r="J710" s="19" t="s">
        <v>46</v>
      </c>
      <c r="K710" s="19" t="s">
        <v>145</v>
      </c>
      <c r="L710" s="19" t="s">
        <v>48</v>
      </c>
      <c r="M710" s="19" t="s">
        <v>84</v>
      </c>
      <c r="N710" s="19" t="s">
        <v>3036</v>
      </c>
      <c r="O710" s="19" t="s">
        <v>84</v>
      </c>
      <c r="P710" s="19" t="s">
        <v>85</v>
      </c>
      <c r="Q710" s="19" t="s">
        <v>2179</v>
      </c>
      <c r="R710" s="19" t="s">
        <v>3037</v>
      </c>
      <c r="S710" s="19"/>
      <c r="T710" s="19" t="s">
        <v>54</v>
      </c>
      <c r="U710" s="19" t="s">
        <v>55</v>
      </c>
      <c r="V710" s="19" t="s">
        <v>56</v>
      </c>
      <c r="W710" s="19" t="s">
        <v>57</v>
      </c>
      <c r="X710" s="19" t="s">
        <v>58</v>
      </c>
      <c r="Y710" s="19"/>
      <c r="Z710" s="19" t="s">
        <v>3038</v>
      </c>
      <c r="AA710" s="19">
        <v>2</v>
      </c>
      <c r="AB710" s="19"/>
      <c r="AC710" s="19" t="s">
        <v>392</v>
      </c>
      <c r="AD710" s="19"/>
      <c r="AE710" s="19"/>
      <c r="AF710" s="19"/>
    </row>
    <row r="711" spans="1:34">
      <c r="A711" s="19">
        <v>701</v>
      </c>
      <c r="B711" s="19" t="s">
        <v>1080</v>
      </c>
      <c r="C711" s="19" t="s">
        <v>659</v>
      </c>
      <c r="D711" s="19" t="str">
        <f>HYPERLINK("http://www.henontech.com/fieldsafety/harzard/harzard_show.php?rid=16285&amp;url=harzardrecs.php","脱硫循环水池地沟盖板腐蚀严重，人员在巡检时不小心可能踩空，磕伤右脚，去医务室处理，不影响正常上班！")</f>
        <v>脱硫循环水池地沟盖板腐蚀严重，人员在巡检时不小心可能踩空，磕伤右脚，去医务室处理，不影响正常上班！</v>
      </c>
      <c r="E711" s="19" t="s">
        <v>3039</v>
      </c>
      <c r="F711" s="24" t="s">
        <v>387</v>
      </c>
      <c r="G711" s="21" t="s">
        <v>43</v>
      </c>
      <c r="H711" s="19" t="s">
        <v>44</v>
      </c>
      <c r="I711" s="19" t="s">
        <v>45</v>
      </c>
      <c r="J711" s="19" t="s">
        <v>68</v>
      </c>
      <c r="K711" s="19" t="s">
        <v>47</v>
      </c>
      <c r="L711" s="19" t="s">
        <v>48</v>
      </c>
      <c r="M711" s="19" t="s">
        <v>84</v>
      </c>
      <c r="N711" s="19" t="s">
        <v>671</v>
      </c>
      <c r="O711" s="19"/>
      <c r="P711" s="19"/>
      <c r="Q711" s="19"/>
      <c r="R711" s="19" t="s">
        <v>3040</v>
      </c>
      <c r="S711" s="19" t="s">
        <v>3041</v>
      </c>
      <c r="T711" s="19" t="s">
        <v>54</v>
      </c>
      <c r="U711" s="19" t="s">
        <v>75</v>
      </c>
      <c r="V711" s="19" t="s">
        <v>101</v>
      </c>
      <c r="W711" s="19" t="s">
        <v>77</v>
      </c>
      <c r="X711" s="19"/>
      <c r="Y711" s="19"/>
      <c r="Z711" s="19"/>
      <c r="AA711" s="19">
        <v>0</v>
      </c>
      <c r="AB711" s="19"/>
      <c r="AC711" s="19" t="s">
        <v>392</v>
      </c>
      <c r="AD711" s="19"/>
      <c r="AE711" s="19"/>
      <c r="AF711" s="19"/>
    </row>
    <row r="712" spans="1:34">
      <c r="A712" s="19">
        <v>702</v>
      </c>
      <c r="B712" s="19" t="s">
        <v>1080</v>
      </c>
      <c r="C712" s="19" t="s">
        <v>211</v>
      </c>
      <c r="D712" s="19" t="str">
        <f>HYPERLINK("http://www.henontech.com/fieldsafety/harzard/harzard_show.php?rid=16291&amp;url=harzardrecs.php","粗苯贫油冷却器处有一根废旧铁管没有及时清理而且放置不规范，如果在大风天气一名操作工经过此处，有可能会被吹倒的铁管砸伤左脚，造成左脚红肿，在家休养3天后复工，损工3天。")</f>
        <v>粗苯贫油冷却器处有一根废旧铁管没有及时清理而且放置不规范，如果在大风天气一名操作工经过此处，有可能会被吹倒的铁管砸伤左脚，造成左脚红肿，在家休养3天后复工，损工3天。</v>
      </c>
      <c r="E712" s="19" t="s">
        <v>3042</v>
      </c>
      <c r="F712" s="20" t="s">
        <v>42</v>
      </c>
      <c r="G712" s="21" t="s">
        <v>43</v>
      </c>
      <c r="H712" s="19" t="s">
        <v>44</v>
      </c>
      <c r="I712" s="19" t="s">
        <v>45</v>
      </c>
      <c r="J712" s="19" t="s">
        <v>68</v>
      </c>
      <c r="K712" s="19" t="s">
        <v>47</v>
      </c>
      <c r="L712" s="19" t="s">
        <v>48</v>
      </c>
      <c r="M712" s="19" t="s">
        <v>70</v>
      </c>
      <c r="N712" s="19" t="s">
        <v>213</v>
      </c>
      <c r="O712" s="19" t="s">
        <v>70</v>
      </c>
      <c r="P712" s="19" t="s">
        <v>72</v>
      </c>
      <c r="Q712" s="19" t="s">
        <v>2992</v>
      </c>
      <c r="R712" s="19" t="s">
        <v>2362</v>
      </c>
      <c r="S712" s="19"/>
      <c r="T712" s="19" t="s">
        <v>54</v>
      </c>
      <c r="U712" s="19" t="s">
        <v>55</v>
      </c>
      <c r="V712" s="19" t="s">
        <v>101</v>
      </c>
      <c r="W712" s="19" t="s">
        <v>138</v>
      </c>
      <c r="X712" s="19"/>
      <c r="Y712" s="19"/>
      <c r="Z712" s="19" t="s">
        <v>3043</v>
      </c>
      <c r="AA712" s="19">
        <v>1</v>
      </c>
      <c r="AB712" s="19">
        <v>1</v>
      </c>
      <c r="AC712" s="19" t="s">
        <v>60</v>
      </c>
      <c r="AD712" s="19" t="s">
        <v>72</v>
      </c>
      <c r="AE712" s="19" t="s">
        <v>1080</v>
      </c>
      <c r="AF712" s="19"/>
    </row>
    <row r="713" spans="1:34">
      <c r="A713" s="19">
        <v>703</v>
      </c>
      <c r="B713" s="19" t="s">
        <v>1080</v>
      </c>
      <c r="C713" s="19" t="s">
        <v>284</v>
      </c>
      <c r="D713" s="19" t="str">
        <f>HYPERLINK("http://www.henontech.com/fieldsafety/harzard/harzard_show.php?rid=16292&amp;url=harzardrecs.php","西二后尾爬梯扶手护栏开焊，一旦职工扶护栏下爬梯时，因扶手失去支撑，职工头部向前摔倒在地，脸部轻微擦伤，消毒处理后，继续工作。")</f>
        <v>西二后尾爬梯扶手护栏开焊，一旦职工扶护栏下爬梯时，因扶手失去支撑，职工头部向前摔倒在地，脸部轻微擦伤，消毒处理后，继续工作。</v>
      </c>
      <c r="E713" s="19" t="s">
        <v>3044</v>
      </c>
      <c r="F713" s="20" t="s">
        <v>42</v>
      </c>
      <c r="G713" s="21" t="s">
        <v>43</v>
      </c>
      <c r="H713" s="19" t="s">
        <v>44</v>
      </c>
      <c r="I713" s="19" t="s">
        <v>45</v>
      </c>
      <c r="J713" s="19"/>
      <c r="K713" s="19"/>
      <c r="L713" s="19"/>
      <c r="M713" s="19" t="s">
        <v>285</v>
      </c>
      <c r="N713" s="19" t="s">
        <v>3045</v>
      </c>
      <c r="O713" s="19" t="s">
        <v>285</v>
      </c>
      <c r="P713" s="19" t="s">
        <v>410</v>
      </c>
      <c r="Q713" s="19" t="s">
        <v>2992</v>
      </c>
      <c r="R713" s="19" t="s">
        <v>2563</v>
      </c>
      <c r="S713" s="19"/>
      <c r="T713" s="19" t="s">
        <v>54</v>
      </c>
      <c r="U713" s="19" t="s">
        <v>75</v>
      </c>
      <c r="V713" s="19" t="s">
        <v>56</v>
      </c>
      <c r="W713" s="19" t="s">
        <v>138</v>
      </c>
      <c r="X713" s="19" t="s">
        <v>58</v>
      </c>
      <c r="Y713" s="19"/>
      <c r="Z713" s="19" t="s">
        <v>3046</v>
      </c>
      <c r="AA713" s="19">
        <v>1</v>
      </c>
      <c r="AB713" s="19">
        <v>1</v>
      </c>
      <c r="AC713" s="19" t="s">
        <v>60</v>
      </c>
      <c r="AD713" s="19" t="s">
        <v>410</v>
      </c>
      <c r="AE713" s="19" t="s">
        <v>1080</v>
      </c>
      <c r="AF713" s="19"/>
    </row>
    <row r="714" spans="1:34">
      <c r="A714" s="19">
        <v>704</v>
      </c>
      <c r="B714" s="19" t="s">
        <v>1080</v>
      </c>
      <c r="C714" s="19" t="s">
        <v>3047</v>
      </c>
      <c r="D714" s="19" t="str">
        <f>HYPERLINK("http://www.henontech.com/fieldsafety/harzard/harzard_show.php?rid=16294&amp;url=harzardrecs.php","危废库北库房内220∨照明灯连接管处断裂，线头外露。如果一名操作工在进入库房内开灯时可能引起灯头处电线短路，造成人员触电死亡。")</f>
        <v>危废库北库房内220∨照明灯连接管处断裂，线头外露。如果一名操作工在进入库房内开灯时可能引起灯头处电线短路，造成人员触电死亡。</v>
      </c>
      <c r="E714" s="19" t="s">
        <v>3048</v>
      </c>
      <c r="F714" s="25" t="s">
        <v>1853</v>
      </c>
      <c r="G714" s="22" t="s">
        <v>66</v>
      </c>
      <c r="H714" s="19" t="s">
        <v>44</v>
      </c>
      <c r="I714" s="19" t="s">
        <v>67</v>
      </c>
      <c r="J714" s="19" t="s">
        <v>202</v>
      </c>
      <c r="K714" s="19" t="s">
        <v>145</v>
      </c>
      <c r="L714" s="19" t="s">
        <v>48</v>
      </c>
      <c r="M714" s="19" t="s">
        <v>70</v>
      </c>
      <c r="N714" s="19" t="s">
        <v>2045</v>
      </c>
      <c r="O714" s="19" t="s">
        <v>70</v>
      </c>
      <c r="P714" s="19" t="s">
        <v>72</v>
      </c>
      <c r="Q714" s="19" t="s">
        <v>2992</v>
      </c>
      <c r="R714" s="19" t="s">
        <v>3049</v>
      </c>
      <c r="S714" s="19"/>
      <c r="T714" s="19" t="s">
        <v>54</v>
      </c>
      <c r="U714" s="19" t="s">
        <v>121</v>
      </c>
      <c r="V714" s="19" t="s">
        <v>56</v>
      </c>
      <c r="W714" s="19" t="s">
        <v>122</v>
      </c>
      <c r="X714" s="19"/>
      <c r="Y714" s="19"/>
      <c r="Z714" s="19" t="s">
        <v>3050</v>
      </c>
      <c r="AA714" s="19">
        <v>1</v>
      </c>
      <c r="AB714" s="19"/>
      <c r="AC714" s="19" t="s">
        <v>392</v>
      </c>
      <c r="AD714" s="19"/>
      <c r="AE714" s="19"/>
      <c r="AF714" s="19"/>
    </row>
    <row r="715" spans="1:34">
      <c r="A715" s="19">
        <v>705</v>
      </c>
      <c r="B715" s="19" t="s">
        <v>1080</v>
      </c>
      <c r="C715" s="19" t="s">
        <v>801</v>
      </c>
      <c r="D715" s="19" t="str">
        <f>HYPERLINK("http://www.henontech.com/fieldsafety/harzard/harzard_show.php?rid=16311&amp;url=harzardrecs.php","污水超滤处管线断裂，操作人员没有及时发现，超滤设备无法开启")</f>
        <v>污水超滤处管线断裂，操作人员没有及时发现，超滤设备无法开启</v>
      </c>
      <c r="E715" s="19" t="s">
        <v>3051</v>
      </c>
      <c r="F715" s="24" t="s">
        <v>387</v>
      </c>
      <c r="G715" s="21" t="s">
        <v>43</v>
      </c>
      <c r="H715" s="19" t="s">
        <v>44</v>
      </c>
      <c r="I715" s="19" t="s">
        <v>45</v>
      </c>
      <c r="J715" s="19" t="s">
        <v>46</v>
      </c>
      <c r="K715" s="19"/>
      <c r="L715" s="19"/>
      <c r="M715" s="19" t="s">
        <v>84</v>
      </c>
      <c r="N715" s="19" t="s">
        <v>2121</v>
      </c>
      <c r="O715" s="19"/>
      <c r="P715" s="19"/>
      <c r="Q715" s="19"/>
      <c r="R715" s="19" t="s">
        <v>3052</v>
      </c>
      <c r="S715" s="19" t="s">
        <v>2095</v>
      </c>
      <c r="T715" s="19" t="s">
        <v>270</v>
      </c>
      <c r="U715" s="19" t="s">
        <v>192</v>
      </c>
      <c r="V715" s="19" t="s">
        <v>56</v>
      </c>
      <c r="W715" s="19" t="s">
        <v>77</v>
      </c>
      <c r="X715" s="19"/>
      <c r="Y715" s="19"/>
      <c r="Z715" s="19"/>
      <c r="AA715" s="19">
        <v>0</v>
      </c>
      <c r="AB715" s="19"/>
      <c r="AC715" s="19" t="s">
        <v>392</v>
      </c>
      <c r="AD715" s="19"/>
      <c r="AE715" s="19"/>
      <c r="AF715" s="19"/>
    </row>
    <row r="716" spans="1:34">
      <c r="A716" s="19">
        <v>706</v>
      </c>
      <c r="B716" s="19" t="s">
        <v>1080</v>
      </c>
      <c r="C716" s="19" t="s">
        <v>2636</v>
      </c>
      <c r="D716" s="19" t="str">
        <f>HYPERLINK("http://www.henontech.com/fieldsafety/harzard/harzard_show.php?rid=16378&amp;url=harzardrecs.php","北脱硫泵房内设备拆除后北门口路面所用障碍物未及时清理，一但巡检人员经过不慎被障碍物拌倒造成左手臂轻微擦伤，送医务室简单处理后后正常工作")</f>
        <v>北脱硫泵房内设备拆除后北门口路面所用障碍物未及时清理，一但巡检人员经过不慎被障碍物拌倒造成左手臂轻微擦伤，送医务室简单处理后后正常工作</v>
      </c>
      <c r="E716" s="19" t="s">
        <v>3053</v>
      </c>
      <c r="F716" s="25" t="s">
        <v>1853</v>
      </c>
      <c r="G716" s="21" t="s">
        <v>43</v>
      </c>
      <c r="H716" s="19" t="s">
        <v>44</v>
      </c>
      <c r="I716" s="19" t="s">
        <v>45</v>
      </c>
      <c r="J716" s="19" t="s">
        <v>46</v>
      </c>
      <c r="K716" s="19" t="s">
        <v>47</v>
      </c>
      <c r="L716" s="19" t="s">
        <v>48</v>
      </c>
      <c r="M716" s="19" t="s">
        <v>70</v>
      </c>
      <c r="N716" s="19" t="s">
        <v>3054</v>
      </c>
      <c r="O716" s="19" t="s">
        <v>70</v>
      </c>
      <c r="P716" s="19" t="s">
        <v>72</v>
      </c>
      <c r="Q716" s="19" t="s">
        <v>2992</v>
      </c>
      <c r="R716" s="19" t="s">
        <v>3055</v>
      </c>
      <c r="S716" s="19"/>
      <c r="T716" s="19" t="s">
        <v>54</v>
      </c>
      <c r="U716" s="19" t="s">
        <v>75</v>
      </c>
      <c r="V716" s="19" t="s">
        <v>101</v>
      </c>
      <c r="W716" s="19" t="s">
        <v>77</v>
      </c>
      <c r="X716" s="19"/>
      <c r="Y716" s="19"/>
      <c r="Z716" s="19" t="s">
        <v>3056</v>
      </c>
      <c r="AA716" s="19">
        <v>1</v>
      </c>
      <c r="AB716" s="19"/>
      <c r="AC716" s="19" t="s">
        <v>392</v>
      </c>
      <c r="AD716" s="19"/>
      <c r="AE716" s="19"/>
      <c r="AF716" s="19"/>
    </row>
    <row r="717" spans="1:34">
      <c r="A717" s="19">
        <v>707</v>
      </c>
      <c r="B717" s="19" t="s">
        <v>1080</v>
      </c>
      <c r="C717" s="19" t="s">
        <v>2005</v>
      </c>
      <c r="D717" s="19" t="str">
        <f>HYPERLINK("http://www.henontech.com/fieldsafety/harzard/harzard_show.php?rid=16477&amp;url=harzardrecs.php","收发室北侧水沟盖板断裂，一职工一旦从上面经过，左腿跌落水沟，造成左小腿划伤，送医务室敷药包扎后回到岗位继续工作。")</f>
        <v>收发室北侧水沟盖板断裂，一职工一旦从上面经过，左腿跌落水沟，造成左小腿划伤，送医务室敷药包扎后回到岗位继续工作。</v>
      </c>
      <c r="E717" s="19" t="s">
        <v>3057</v>
      </c>
      <c r="F717" s="20" t="s">
        <v>42</v>
      </c>
      <c r="G717" s="21" t="s">
        <v>43</v>
      </c>
      <c r="H717" s="19" t="s">
        <v>44</v>
      </c>
      <c r="I717" s="19" t="s">
        <v>45</v>
      </c>
      <c r="J717" s="19" t="s">
        <v>401</v>
      </c>
      <c r="K717" s="19" t="s">
        <v>47</v>
      </c>
      <c r="L717" s="19" t="s">
        <v>48</v>
      </c>
      <c r="M717" s="19" t="s">
        <v>285</v>
      </c>
      <c r="N717" s="19" t="s">
        <v>555</v>
      </c>
      <c r="O717" s="19" t="s">
        <v>285</v>
      </c>
      <c r="P717" s="19" t="s">
        <v>419</v>
      </c>
      <c r="Q717" s="19" t="s">
        <v>1322</v>
      </c>
      <c r="R717" s="19" t="s">
        <v>3058</v>
      </c>
      <c r="S717" s="19"/>
      <c r="T717" s="19" t="s">
        <v>54</v>
      </c>
      <c r="U717" s="19" t="s">
        <v>75</v>
      </c>
      <c r="V717" s="19" t="s">
        <v>56</v>
      </c>
      <c r="W717" s="19" t="s">
        <v>138</v>
      </c>
      <c r="X717" s="19"/>
      <c r="Y717" s="19"/>
      <c r="Z717" s="19" t="s">
        <v>3059</v>
      </c>
      <c r="AA717" s="19">
        <v>1</v>
      </c>
      <c r="AB717" s="19">
        <v>1</v>
      </c>
      <c r="AC717" s="19" t="s">
        <v>60</v>
      </c>
      <c r="AD717" s="19" t="s">
        <v>419</v>
      </c>
      <c r="AE717" s="19" t="s">
        <v>1322</v>
      </c>
      <c r="AF717" s="19"/>
    </row>
    <row r="718" spans="1:34">
      <c r="A718" s="19">
        <v>708</v>
      </c>
      <c r="B718" s="19" t="s">
        <v>1080</v>
      </c>
      <c r="C718" s="19" t="s">
        <v>2058</v>
      </c>
      <c r="D718" s="19" t="str">
        <f>HYPERLINK("http://www.henontech.com/fieldsafety/harzard/harzard_show.php?rid=16478&amp;url=harzardrecs.php","南冷凝液下泵电机有噪音，振动异常，如果长时间震动，就会造成联轴器损坏，烧毁电机，财产损失价值五万")</f>
        <v>南冷凝液下泵电机有噪音，振动异常，如果长时间震动，就会造成联轴器损坏，烧毁电机，财产损失价值五万</v>
      </c>
      <c r="E718" s="19" t="s">
        <v>3060</v>
      </c>
      <c r="F718" s="26" t="s">
        <v>2393</v>
      </c>
      <c r="G718" s="19"/>
      <c r="H718" s="19" t="s">
        <v>44</v>
      </c>
      <c r="I718" s="19" t="s">
        <v>45</v>
      </c>
      <c r="J718" s="19" t="s">
        <v>46</v>
      </c>
      <c r="K718" s="19" t="s">
        <v>69</v>
      </c>
      <c r="L718" s="19" t="s">
        <v>48</v>
      </c>
      <c r="M718" s="19" t="s">
        <v>70</v>
      </c>
      <c r="N718" s="19" t="s">
        <v>1750</v>
      </c>
      <c r="O718" s="19"/>
      <c r="P718" s="19"/>
      <c r="Q718" s="19"/>
      <c r="R718" s="19" t="s">
        <v>1063</v>
      </c>
      <c r="S718" s="19"/>
      <c r="T718" s="19" t="s">
        <v>100</v>
      </c>
      <c r="U718" s="19" t="s">
        <v>75</v>
      </c>
      <c r="V718" s="19" t="s">
        <v>56</v>
      </c>
      <c r="W718" s="19" t="s">
        <v>138</v>
      </c>
      <c r="X718" s="19"/>
      <c r="Y718" s="19"/>
      <c r="Z718" s="19"/>
      <c r="AA718" s="19"/>
      <c r="AB718" s="19"/>
      <c r="AC718" s="19" t="s">
        <v>392</v>
      </c>
      <c r="AD718" s="19"/>
      <c r="AE718" s="19"/>
      <c r="AF718" s="19"/>
    </row>
    <row r="719" spans="1:34">
      <c r="A719" s="19">
        <v>709</v>
      </c>
      <c r="B719" s="19" t="s">
        <v>1080</v>
      </c>
      <c r="C719" s="19" t="s">
        <v>407</v>
      </c>
      <c r="D719" s="19" t="str">
        <f>HYPERLINK("http://www.henontech.com/fieldsafety/harzard/harzard_show.php?rid=16479&amp;url=harzardrecs.php","东一1号给料机连杆销子螺母缺失，如果继续使用，一旦销子移位，就会造成连接装置损坏，迫使非正常停机检修一小时，经济损失500元。")</f>
        <v>东一1号给料机连杆销子螺母缺失，如果继续使用，一旦销子移位，就会造成连接装置损坏，迫使非正常停机检修一小时，经济损失500元。</v>
      </c>
      <c r="E719" s="19" t="s">
        <v>3061</v>
      </c>
      <c r="F719" s="20" t="s">
        <v>42</v>
      </c>
      <c r="G719" s="22" t="s">
        <v>66</v>
      </c>
      <c r="H719" s="19" t="s">
        <v>44</v>
      </c>
      <c r="I719" s="19" t="s">
        <v>67</v>
      </c>
      <c r="J719" s="19" t="s">
        <v>334</v>
      </c>
      <c r="K719" s="19" t="s">
        <v>145</v>
      </c>
      <c r="L719" s="19" t="s">
        <v>48</v>
      </c>
      <c r="M719" s="19" t="s">
        <v>285</v>
      </c>
      <c r="N719" s="19" t="s">
        <v>3062</v>
      </c>
      <c r="O719" s="19" t="s">
        <v>285</v>
      </c>
      <c r="P719" s="19" t="s">
        <v>419</v>
      </c>
      <c r="Q719" s="19" t="s">
        <v>1322</v>
      </c>
      <c r="R719" s="19" t="s">
        <v>2322</v>
      </c>
      <c r="S719" s="19"/>
      <c r="T719" s="19" t="s">
        <v>100</v>
      </c>
      <c r="U719" s="19" t="s">
        <v>192</v>
      </c>
      <c r="V719" s="19" t="s">
        <v>56</v>
      </c>
      <c r="W719" s="19" t="s">
        <v>77</v>
      </c>
      <c r="X719" s="19"/>
      <c r="Y719" s="19"/>
      <c r="Z719" s="19" t="s">
        <v>3063</v>
      </c>
      <c r="AA719" s="19">
        <v>1</v>
      </c>
      <c r="AB719" s="19">
        <v>1</v>
      </c>
      <c r="AC719" s="19" t="s">
        <v>60</v>
      </c>
      <c r="AD719" s="19" t="s">
        <v>419</v>
      </c>
      <c r="AE719" s="19" t="s">
        <v>1322</v>
      </c>
      <c r="AF719" s="19"/>
    </row>
    <row r="720" spans="1:34" customHeight="1" ht="42">
      <c r="A720" s="19">
        <v>710</v>
      </c>
      <c r="B720" s="19" t="s">
        <v>2620</v>
      </c>
      <c r="C720" s="19" t="s">
        <v>2880</v>
      </c>
      <c r="D720" s="19" t="str">
        <f>HYPERLINK("http://www.henontech.com/fieldsafety/harzard/harzard_show.php?rid=16492&amp;url=harzardrecs.php","渣库爬梯未设警示牌，职工在攀登时，不慎脚下打滑摔倒，造成手臂轻微擦伤，到医务室敷药后继续上岗作业。")</f>
        <v>渣库爬梯未设警示牌，职工在攀登时，不慎脚下打滑摔倒，造成手臂轻微擦伤，到医务室敷药后继续上岗作业。</v>
      </c>
      <c r="E720" s="19" t="s">
        <v>3064</v>
      </c>
      <c r="F720" s="25" t="s">
        <v>1853</v>
      </c>
      <c r="G720" s="21" t="s">
        <v>43</v>
      </c>
      <c r="H720" s="19" t="s">
        <v>44</v>
      </c>
      <c r="I720" s="19" t="s">
        <v>45</v>
      </c>
      <c r="J720" s="19" t="s">
        <v>46</v>
      </c>
      <c r="K720" s="19"/>
      <c r="L720" s="19" t="s">
        <v>573</v>
      </c>
      <c r="M720" s="19" t="s">
        <v>84</v>
      </c>
      <c r="N720" s="19" t="s">
        <v>3065</v>
      </c>
      <c r="O720" s="19" t="s">
        <v>84</v>
      </c>
      <c r="P720" s="19" t="s">
        <v>85</v>
      </c>
      <c r="Q720" s="19" t="s">
        <v>2179</v>
      </c>
      <c r="R720" s="19" t="s">
        <v>3066</v>
      </c>
      <c r="S720" s="19"/>
      <c r="T720" s="19" t="s">
        <v>54</v>
      </c>
      <c r="U720" s="19" t="s">
        <v>75</v>
      </c>
      <c r="V720" s="19" t="s">
        <v>101</v>
      </c>
      <c r="W720" s="19" t="s">
        <v>77</v>
      </c>
      <c r="X720" s="19" t="s">
        <v>58</v>
      </c>
      <c r="Y720" s="19"/>
      <c r="Z720" s="19" t="s">
        <v>3067</v>
      </c>
      <c r="AA720" s="19">
        <v>2</v>
      </c>
      <c r="AB720" s="19"/>
      <c r="AC720" s="19" t="s">
        <v>392</v>
      </c>
      <c r="AD720" s="19"/>
      <c r="AE720" s="19"/>
      <c r="AF720" s="19"/>
    </row>
    <row r="721" spans="1:34" customHeight="1" ht="42">
      <c r="A721" s="19">
        <v>711</v>
      </c>
      <c r="B721" s="19" t="s">
        <v>2620</v>
      </c>
      <c r="C721" s="19" t="s">
        <v>2005</v>
      </c>
      <c r="D721" s="19" t="str">
        <f>HYPERLINK("http://www.henontech.com/fieldsafety/harzard/harzard_show.php?rid=16499&amp;url=harzardrecs.php","水沟盖板断裂，一名员工在夜间巡查时不小心掉入水沟，造成腿部轻微伤，送医包扎后继续上岗。")</f>
        <v>水沟盖板断裂，一名员工在夜间巡查时不小心掉入水沟，造成腿部轻微伤，送医包扎后继续上岗。</v>
      </c>
      <c r="E721" s="19" t="s">
        <v>1403</v>
      </c>
      <c r="F721" s="20" t="s">
        <v>42</v>
      </c>
      <c r="G721" s="21" t="s">
        <v>43</v>
      </c>
      <c r="H721" s="19" t="s">
        <v>44</v>
      </c>
      <c r="I721" s="19" t="s">
        <v>67</v>
      </c>
      <c r="J721" s="19" t="s">
        <v>401</v>
      </c>
      <c r="K721" s="19" t="s">
        <v>47</v>
      </c>
      <c r="L721" s="19" t="s">
        <v>48</v>
      </c>
      <c r="M721" s="19" t="s">
        <v>285</v>
      </c>
      <c r="N721" s="19" t="s">
        <v>1425</v>
      </c>
      <c r="O721" s="19" t="s">
        <v>285</v>
      </c>
      <c r="P721" s="19" t="s">
        <v>617</v>
      </c>
      <c r="Q721" s="19" t="s">
        <v>2271</v>
      </c>
      <c r="R721" s="19" t="s">
        <v>3068</v>
      </c>
      <c r="S721" s="19"/>
      <c r="T721" s="19" t="s">
        <v>54</v>
      </c>
      <c r="U721" s="19" t="s">
        <v>75</v>
      </c>
      <c r="V721" s="19" t="s">
        <v>101</v>
      </c>
      <c r="W721" s="19" t="s">
        <v>77</v>
      </c>
      <c r="X721" s="19" t="s">
        <v>235</v>
      </c>
      <c r="Y721" s="19" t="s">
        <v>235</v>
      </c>
      <c r="Z721" s="19" t="s">
        <v>3069</v>
      </c>
      <c r="AA721" s="19">
        <v>2</v>
      </c>
      <c r="AB721" s="19">
        <v>2</v>
      </c>
      <c r="AC721" s="19" t="s">
        <v>60</v>
      </c>
      <c r="AD721" s="19" t="s">
        <v>617</v>
      </c>
      <c r="AE721" s="19" t="s">
        <v>2902</v>
      </c>
      <c r="AF721" s="19"/>
    </row>
    <row r="722" spans="1:34">
      <c r="A722" s="19">
        <v>712</v>
      </c>
      <c r="B722" s="19" t="s">
        <v>2620</v>
      </c>
      <c r="C722" s="19" t="s">
        <v>1265</v>
      </c>
      <c r="D722" s="19" t="str">
        <f>HYPERLINK("http://www.henontech.com/fieldsafety/harzard/harzard_show.php?rid=16523&amp;url=harzardrecs.php","粗苯岗位南侧防尘网固定螺丝松动断开，防尘网坠落，一名操作人员巡检至此，防尘网坠落，操作工被防尘网砸到头部，造成轻微脑震荡。")</f>
        <v>粗苯岗位南侧防尘网固定螺丝松动断开，防尘网坠落，一名操作人员巡检至此，防尘网坠落，操作工被防尘网砸到头部，造成轻微脑震荡。</v>
      </c>
      <c r="E722" s="19" t="s">
        <v>3070</v>
      </c>
      <c r="F722" s="20" t="s">
        <v>42</v>
      </c>
      <c r="G722" s="21" t="s">
        <v>43</v>
      </c>
      <c r="H722" s="19" t="s">
        <v>44</v>
      </c>
      <c r="I722" s="19" t="s">
        <v>67</v>
      </c>
      <c r="J722" s="19"/>
      <c r="K722" s="19" t="s">
        <v>69</v>
      </c>
      <c r="L722" s="19" t="s">
        <v>48</v>
      </c>
      <c r="M722" s="19" t="s">
        <v>70</v>
      </c>
      <c r="N722" s="19" t="s">
        <v>716</v>
      </c>
      <c r="O722" s="19" t="s">
        <v>70</v>
      </c>
      <c r="P722" s="19" t="s">
        <v>716</v>
      </c>
      <c r="Q722" s="19" t="s">
        <v>3071</v>
      </c>
      <c r="R722" s="19" t="s">
        <v>3072</v>
      </c>
      <c r="S722" s="19"/>
      <c r="T722" s="19" t="s">
        <v>54</v>
      </c>
      <c r="U722" s="19" t="s">
        <v>75</v>
      </c>
      <c r="V722" s="19" t="s">
        <v>101</v>
      </c>
      <c r="W722" s="19" t="s">
        <v>77</v>
      </c>
      <c r="X722" s="19"/>
      <c r="Y722" s="19"/>
      <c r="Z722" s="19" t="s">
        <v>3073</v>
      </c>
      <c r="AA722" s="19">
        <v>1</v>
      </c>
      <c r="AB722" s="19">
        <v>1</v>
      </c>
      <c r="AC722" s="19" t="s">
        <v>60</v>
      </c>
      <c r="AD722" s="19" t="s">
        <v>716</v>
      </c>
      <c r="AE722" s="19" t="s">
        <v>2620</v>
      </c>
      <c r="AF722" s="19"/>
    </row>
    <row r="723" spans="1:34">
      <c r="A723" s="19">
        <v>713</v>
      </c>
      <c r="B723" s="19" t="s">
        <v>2620</v>
      </c>
      <c r="C723" s="19" t="s">
        <v>284</v>
      </c>
      <c r="D723" s="19" t="str">
        <f>HYPERLINK("http://www.henontech.com/fieldsafety/harzard/harzard_show.php?rid=16532&amp;url=harzardrecs.php","西一斜桥中部一护栏开焊，一旦操作工在操作时易造成人员挤伤！")</f>
        <v>西一斜桥中部一护栏开焊，一旦操作工在操作时易造成人员挤伤！</v>
      </c>
      <c r="E723" s="19" t="s">
        <v>3074</v>
      </c>
      <c r="F723" s="20" t="s">
        <v>42</v>
      </c>
      <c r="G723" s="21" t="s">
        <v>43</v>
      </c>
      <c r="H723" s="19" t="s">
        <v>44</v>
      </c>
      <c r="I723" s="19" t="s">
        <v>45</v>
      </c>
      <c r="J723" s="19" t="s">
        <v>46</v>
      </c>
      <c r="K723" s="19" t="s">
        <v>47</v>
      </c>
      <c r="L723" s="19" t="s">
        <v>48</v>
      </c>
      <c r="M723" s="19" t="s">
        <v>285</v>
      </c>
      <c r="N723" s="19" t="s">
        <v>3075</v>
      </c>
      <c r="O723" s="19" t="s">
        <v>285</v>
      </c>
      <c r="P723" s="19" t="s">
        <v>410</v>
      </c>
      <c r="Q723" s="19" t="s">
        <v>3076</v>
      </c>
      <c r="R723" s="19" t="s">
        <v>2576</v>
      </c>
      <c r="S723" s="19"/>
      <c r="T723" s="19" t="s">
        <v>54</v>
      </c>
      <c r="U723" s="19" t="s">
        <v>75</v>
      </c>
      <c r="V723" s="19" t="s">
        <v>101</v>
      </c>
      <c r="W723" s="19" t="s">
        <v>77</v>
      </c>
      <c r="X723" s="19"/>
      <c r="Y723" s="19"/>
      <c r="Z723" s="19" t="s">
        <v>3077</v>
      </c>
      <c r="AA723" s="19">
        <v>1</v>
      </c>
      <c r="AB723" s="19">
        <v>1</v>
      </c>
      <c r="AC723" s="19" t="s">
        <v>60</v>
      </c>
      <c r="AD723" s="19" t="s">
        <v>410</v>
      </c>
      <c r="AE723" s="19" t="s">
        <v>2902</v>
      </c>
      <c r="AF723" s="19"/>
    </row>
    <row r="724" spans="1:34">
      <c r="A724" s="19">
        <v>714</v>
      </c>
      <c r="B724" s="19" t="s">
        <v>2620</v>
      </c>
      <c r="C724" s="19" t="s">
        <v>2005</v>
      </c>
      <c r="D724" s="19" t="str">
        <f>HYPERLINK("http://www.henontech.com/fieldsafety/harzard/harzard_show.php?rid=16636&amp;url=harzardrecs.php","煤场西南角污水管线连接处螺栓脱落，造成污水外漏，一旦污水流入外部，将造成环境污染。")</f>
        <v>煤场西南角污水管线连接处螺栓脱落，造成污水外漏，一旦污水流入外部，将造成环境污染。</v>
      </c>
      <c r="E724" s="19" t="s">
        <v>3078</v>
      </c>
      <c r="F724" s="20" t="s">
        <v>42</v>
      </c>
      <c r="G724" s="22" t="s">
        <v>66</v>
      </c>
      <c r="H724" s="19" t="s">
        <v>44</v>
      </c>
      <c r="I724" s="19" t="s">
        <v>67</v>
      </c>
      <c r="J724" s="19" t="s">
        <v>46</v>
      </c>
      <c r="K724" s="19" t="s">
        <v>47</v>
      </c>
      <c r="L724" s="19" t="s">
        <v>48</v>
      </c>
      <c r="M724" s="19" t="s">
        <v>285</v>
      </c>
      <c r="N724" s="19" t="s">
        <v>3079</v>
      </c>
      <c r="O724" s="19" t="s">
        <v>285</v>
      </c>
      <c r="P724" s="19" t="s">
        <v>419</v>
      </c>
      <c r="Q724" s="19" t="s">
        <v>2902</v>
      </c>
      <c r="R724" s="19" t="s">
        <v>3080</v>
      </c>
      <c r="S724" s="19"/>
      <c r="T724" s="19" t="s">
        <v>270</v>
      </c>
      <c r="U724" s="19" t="s">
        <v>75</v>
      </c>
      <c r="V724" s="19" t="s">
        <v>101</v>
      </c>
      <c r="W724" s="19" t="s">
        <v>77</v>
      </c>
      <c r="X724" s="19"/>
      <c r="Y724" s="19"/>
      <c r="Z724" s="19" t="s">
        <v>3081</v>
      </c>
      <c r="AA724" s="19">
        <v>1</v>
      </c>
      <c r="AB724" s="19">
        <v>1</v>
      </c>
      <c r="AC724" s="19" t="s">
        <v>60</v>
      </c>
      <c r="AD724" s="19" t="s">
        <v>419</v>
      </c>
      <c r="AE724" s="19" t="s">
        <v>2902</v>
      </c>
      <c r="AF724" s="19"/>
    </row>
    <row r="725" spans="1:34">
      <c r="A725" s="19">
        <v>715</v>
      </c>
      <c r="B725" s="19" t="s">
        <v>2620</v>
      </c>
      <c r="C725" s="19" t="s">
        <v>3082</v>
      </c>
      <c r="D725" s="19" t="str">
        <f>HYPERLINK("http://www.henontech.com/fieldsafety/harzard/harzard_show.php?rid=16670&amp;url=harzardrecs.php","干熄焦锅炉一次除尘处减压阀捆绑在气源管线上，一旦该气源管线脱落或减压阀掉落，均会造成一次除尘不能正常工作，长时间停运会造成环境污染。")</f>
        <v>干熄焦锅炉一次除尘处减压阀捆绑在气源管线上，一旦该气源管线脱落或减压阀掉落，均会造成一次除尘不能正常工作，长时间停运会造成环境污染。</v>
      </c>
      <c r="E725" s="19" t="s">
        <v>3083</v>
      </c>
      <c r="F725" s="26" t="s">
        <v>2393</v>
      </c>
      <c r="G725" s="19"/>
      <c r="H725" s="19" t="s">
        <v>44</v>
      </c>
      <c r="I725" s="19"/>
      <c r="J725" s="19" t="s">
        <v>46</v>
      </c>
      <c r="K725" s="19"/>
      <c r="L725" s="19"/>
      <c r="M725" s="19" t="s">
        <v>117</v>
      </c>
      <c r="N725" s="19" t="s">
        <v>1213</v>
      </c>
      <c r="O725" s="19"/>
      <c r="P725" s="19"/>
      <c r="Q725" s="19"/>
      <c r="R725" s="19" t="s">
        <v>451</v>
      </c>
      <c r="S725" s="19"/>
      <c r="T725" s="19" t="s">
        <v>270</v>
      </c>
      <c r="U725" s="19" t="s">
        <v>192</v>
      </c>
      <c r="V725" s="19" t="s">
        <v>56</v>
      </c>
      <c r="W725" s="19" t="s">
        <v>77</v>
      </c>
      <c r="X725" s="19"/>
      <c r="Y725" s="19"/>
      <c r="Z725" s="19"/>
      <c r="AA725" s="19"/>
      <c r="AB725" s="19"/>
      <c r="AC725" s="19" t="s">
        <v>392</v>
      </c>
      <c r="AD725" s="19"/>
      <c r="AE725" s="19"/>
      <c r="AF725" s="19"/>
    </row>
    <row r="726" spans="1:34" customHeight="1" ht="42">
      <c r="A726" s="19">
        <v>716</v>
      </c>
      <c r="B726" s="19" t="s">
        <v>2620</v>
      </c>
      <c r="C726" s="19" t="s">
        <v>2115</v>
      </c>
      <c r="D726" s="19" t="str">
        <f>HYPERLINK("http://www.henontech.com/fieldsafety/harzard/harzard_show.php?rid=16722&amp;url=harzardrecs.php","热力车间西北角地沟盖板未盖严，一操作工在巡检时，不小心掉入地沟，小腿磕破皮，去医务室包札。")</f>
        <v>热力车间西北角地沟盖板未盖严，一操作工在巡检时，不小心掉入地沟，小腿磕破皮，去医务室包札。</v>
      </c>
      <c r="E726" s="19" t="s">
        <v>3084</v>
      </c>
      <c r="F726" s="25" t="s">
        <v>1853</v>
      </c>
      <c r="G726" s="21" t="s">
        <v>43</v>
      </c>
      <c r="H726" s="19" t="s">
        <v>44</v>
      </c>
      <c r="I726" s="19"/>
      <c r="J726" s="19" t="s">
        <v>68</v>
      </c>
      <c r="K726" s="19" t="s">
        <v>69</v>
      </c>
      <c r="L726" s="19" t="s">
        <v>48</v>
      </c>
      <c r="M726" s="19" t="s">
        <v>84</v>
      </c>
      <c r="N726" s="19" t="s">
        <v>2117</v>
      </c>
      <c r="O726" s="19" t="s">
        <v>84</v>
      </c>
      <c r="P726" s="19" t="s">
        <v>85</v>
      </c>
      <c r="Q726" s="19" t="s">
        <v>2179</v>
      </c>
      <c r="R726" s="19" t="s">
        <v>3085</v>
      </c>
      <c r="S726" s="19"/>
      <c r="T726" s="19" t="s">
        <v>54</v>
      </c>
      <c r="U726" s="19" t="s">
        <v>75</v>
      </c>
      <c r="V726" s="19" t="s">
        <v>101</v>
      </c>
      <c r="W726" s="19" t="s">
        <v>77</v>
      </c>
      <c r="X726" s="19" t="s">
        <v>58</v>
      </c>
      <c r="Y726" s="19"/>
      <c r="Z726" s="19" t="s">
        <v>3086</v>
      </c>
      <c r="AA726" s="19">
        <v>2</v>
      </c>
      <c r="AB726" s="19"/>
      <c r="AC726" s="19" t="s">
        <v>392</v>
      </c>
      <c r="AD726" s="19"/>
      <c r="AE726" s="19"/>
      <c r="AF726" s="19"/>
    </row>
    <row r="727" spans="1:34">
      <c r="A727" s="19">
        <v>717</v>
      </c>
      <c r="B727" s="19" t="s">
        <v>2620</v>
      </c>
      <c r="C727" s="19" t="s">
        <v>1700</v>
      </c>
      <c r="D727" s="19" t="str">
        <f>HYPERLINK("http://www.henontech.com/fieldsafety/harzard/harzard_show.php?rid=16744&amp;url=harzardrecs.php","两盐切片机电机风扇罩腐蚀严重，假如一名有异物进入导致扇叶破碎，可能导致一名操作工被破片击伤面部")</f>
        <v>两盐切片机电机风扇罩腐蚀严重，假如一名有异物进入导致扇叶破碎，可能导致一名操作工被破片击伤面部</v>
      </c>
      <c r="E727" s="19" t="s">
        <v>3087</v>
      </c>
      <c r="F727" s="26" t="s">
        <v>2393</v>
      </c>
      <c r="G727" s="19"/>
      <c r="H727" s="19" t="s">
        <v>44</v>
      </c>
      <c r="I727" s="19" t="s">
        <v>45</v>
      </c>
      <c r="J727" s="19" t="s">
        <v>46</v>
      </c>
      <c r="K727" s="19" t="s">
        <v>145</v>
      </c>
      <c r="L727" s="19"/>
      <c r="M727" s="19" t="s">
        <v>70</v>
      </c>
      <c r="N727" s="19" t="s">
        <v>1993</v>
      </c>
      <c r="O727" s="19"/>
      <c r="P727" s="19"/>
      <c r="Q727" s="19"/>
      <c r="R727" s="19" t="s">
        <v>3088</v>
      </c>
      <c r="S727" s="19"/>
      <c r="T727" s="19" t="s">
        <v>54</v>
      </c>
      <c r="U727" s="19" t="s">
        <v>75</v>
      </c>
      <c r="V727" s="19" t="s">
        <v>101</v>
      </c>
      <c r="W727" s="19" t="s">
        <v>77</v>
      </c>
      <c r="X727" s="19"/>
      <c r="Y727" s="19"/>
      <c r="Z727" s="19"/>
      <c r="AA727" s="19"/>
      <c r="AB727" s="19"/>
      <c r="AC727" s="19" t="s">
        <v>392</v>
      </c>
      <c r="AD727" s="19"/>
      <c r="AE727" s="19"/>
      <c r="AF727" s="19"/>
    </row>
    <row r="728" spans="1:34">
      <c r="A728" s="19">
        <v>718</v>
      </c>
      <c r="B728" s="19" t="s">
        <v>1322</v>
      </c>
      <c r="C728" s="19" t="s">
        <v>3089</v>
      </c>
      <c r="D728" s="19" t="str">
        <f>HYPERLINK("http://www.henontech.com/fieldsafety/harzard/harzard_show.php?rid=16776&amp;url=harzardrecs.php","浓水地沟盖板破损，一名巡检工巡检时，将盖板踩破掉入排水沟，扭伤脚腕划伤小腿")</f>
        <v>浓水地沟盖板破损，一名巡检工巡检时，将盖板踩破掉入排水沟，扭伤脚腕划伤小腿</v>
      </c>
      <c r="E728" s="19" t="s">
        <v>3090</v>
      </c>
      <c r="F728" s="24" t="s">
        <v>387</v>
      </c>
      <c r="G728" s="21" t="s">
        <v>43</v>
      </c>
      <c r="H728" s="19" t="s">
        <v>44</v>
      </c>
      <c r="I728" s="19" t="s">
        <v>45</v>
      </c>
      <c r="J728" s="19" t="s">
        <v>68</v>
      </c>
      <c r="K728" s="19" t="s">
        <v>69</v>
      </c>
      <c r="L728" s="19"/>
      <c r="M728" s="19" t="s">
        <v>84</v>
      </c>
      <c r="N728" s="19" t="s">
        <v>2131</v>
      </c>
      <c r="O728" s="19"/>
      <c r="P728" s="19"/>
      <c r="Q728" s="19"/>
      <c r="R728" s="19" t="s">
        <v>3091</v>
      </c>
      <c r="S728" s="19" t="s">
        <v>2095</v>
      </c>
      <c r="T728" s="19" t="s">
        <v>54</v>
      </c>
      <c r="U728" s="19" t="s">
        <v>75</v>
      </c>
      <c r="V728" s="19" t="s">
        <v>56</v>
      </c>
      <c r="W728" s="19" t="s">
        <v>138</v>
      </c>
      <c r="X728" s="19"/>
      <c r="Y728" s="19"/>
      <c r="Z728" s="19"/>
      <c r="AA728" s="19">
        <v>0</v>
      </c>
      <c r="AB728" s="19"/>
      <c r="AC728" s="19" t="s">
        <v>392</v>
      </c>
      <c r="AD728" s="19"/>
      <c r="AE728" s="19"/>
      <c r="AF728" s="19"/>
    </row>
    <row r="729" spans="1:34">
      <c r="A729" s="19">
        <v>719</v>
      </c>
      <c r="B729" s="19" t="s">
        <v>1322</v>
      </c>
      <c r="C729" s="19" t="s">
        <v>3092</v>
      </c>
      <c r="D729" s="19" t="str">
        <f>HYPERLINK("http://www.henontech.com/fieldsafety/harzard/harzard_show.php?rid=16808&amp;url=harzardrecs.php","干熄焦焦粉仓二层北边侧部分护栏缺失，离地高度约10米，一名巡检人员巡检经过时，假如不慎跌落，造成一人头部着地，当场死亡。")</f>
        <v>干熄焦焦粉仓二层北边侧部分护栏缺失，离地高度约10米，一名巡检人员巡检经过时，假如不慎跌落，造成一人头部着地，当场死亡。</v>
      </c>
      <c r="E729" s="19" t="s">
        <v>682</v>
      </c>
      <c r="F729" s="26" t="s">
        <v>2393</v>
      </c>
      <c r="G729" s="19"/>
      <c r="H729" s="19" t="s">
        <v>44</v>
      </c>
      <c r="I729" s="19"/>
      <c r="J729" s="19" t="s">
        <v>46</v>
      </c>
      <c r="K729" s="19"/>
      <c r="L729" s="19"/>
      <c r="M729" s="19" t="s">
        <v>117</v>
      </c>
      <c r="N729" s="19" t="s">
        <v>3093</v>
      </c>
      <c r="O729" s="19"/>
      <c r="P729" s="19"/>
      <c r="Q729" s="19"/>
      <c r="R729" s="19" t="s">
        <v>3094</v>
      </c>
      <c r="S729" s="19"/>
      <c r="T729" s="19" t="s">
        <v>54</v>
      </c>
      <c r="U729" s="19" t="s">
        <v>121</v>
      </c>
      <c r="V729" s="19" t="s">
        <v>56</v>
      </c>
      <c r="W729" s="19" t="s">
        <v>122</v>
      </c>
      <c r="X729" s="19"/>
      <c r="Y729" s="19"/>
      <c r="Z729" s="19"/>
      <c r="AA729" s="19"/>
      <c r="AB729" s="19"/>
      <c r="AC729" s="19" t="s">
        <v>392</v>
      </c>
      <c r="AD729" s="19"/>
      <c r="AE729" s="19"/>
      <c r="AF729" s="19"/>
    </row>
    <row r="730" spans="1:34" customHeight="1" ht="42">
      <c r="A730" s="19">
        <v>720</v>
      </c>
      <c r="B730" s="19" t="s">
        <v>1322</v>
      </c>
      <c r="C730" s="19" t="s">
        <v>117</v>
      </c>
      <c r="D730" s="19" t="str">
        <f>HYPERLINK("http://www.henontech.com/fieldsafety/harzard/harzard_show.php?rid=16813&amp;url=harzardrecs.php","焦四机头滚筒联轴器无护罩，未设警示标志。设备运转时，一操作人员清扫该设备，右前臂不慎被击伤，造成右前臂骨折，住院治疗90天。")</f>
        <v>焦四机头滚筒联轴器无护罩，未设警示标志。设备运转时，一操作人员清扫该设备，右前臂不慎被击伤，造成右前臂骨折，住院治疗90天。</v>
      </c>
      <c r="E730" s="19" t="s">
        <v>3095</v>
      </c>
      <c r="F730" s="25" t="s">
        <v>1853</v>
      </c>
      <c r="G730" s="21" t="s">
        <v>43</v>
      </c>
      <c r="H730" s="19" t="s">
        <v>44</v>
      </c>
      <c r="I730" s="19"/>
      <c r="J730" s="19" t="s">
        <v>46</v>
      </c>
      <c r="K730" s="19"/>
      <c r="L730" s="19"/>
      <c r="M730" s="19" t="s">
        <v>117</v>
      </c>
      <c r="N730" s="19" t="s">
        <v>3096</v>
      </c>
      <c r="O730" s="19" t="s">
        <v>117</v>
      </c>
      <c r="P730" s="19" t="s">
        <v>224</v>
      </c>
      <c r="Q730" s="19" t="s">
        <v>3097</v>
      </c>
      <c r="R730" s="19" t="s">
        <v>1450</v>
      </c>
      <c r="S730" s="19"/>
      <c r="T730" s="19" t="s">
        <v>54</v>
      </c>
      <c r="U730" s="19" t="s">
        <v>55</v>
      </c>
      <c r="V730" s="19" t="s">
        <v>271</v>
      </c>
      <c r="W730" s="19" t="s">
        <v>122</v>
      </c>
      <c r="X730" s="19" t="s">
        <v>58</v>
      </c>
      <c r="Y730" s="19"/>
      <c r="Z730" s="19" t="s">
        <v>3098</v>
      </c>
      <c r="AA730" s="19">
        <v>2</v>
      </c>
      <c r="AB730" s="19"/>
      <c r="AC730" s="19" t="s">
        <v>392</v>
      </c>
      <c r="AD730" s="19"/>
      <c r="AE730" s="19"/>
      <c r="AF730" s="19"/>
    </row>
    <row r="731" spans="1:34">
      <c r="A731" s="19">
        <v>721</v>
      </c>
      <c r="B731" s="19" t="s">
        <v>1322</v>
      </c>
      <c r="C731" s="19" t="s">
        <v>3099</v>
      </c>
      <c r="D731" s="19" t="str">
        <f>HYPERLINK("http://www.henontech.com/fieldsafety/harzard/harzard_show.php?rid=16814&amp;url=harzardrecs.php","脱硫氨水1号泵罗丝松动，振动异常，如果长时间振动会造成联轴器损坏，烧毁电机，财产损失价值2万元")</f>
        <v>脱硫氨水1号泵罗丝松动，振动异常，如果长时间振动会造成联轴器损坏，烧毁电机，财产损失价值2万元</v>
      </c>
      <c r="E731" s="19" t="s">
        <v>3100</v>
      </c>
      <c r="F731" s="26" t="s">
        <v>2393</v>
      </c>
      <c r="G731" s="19"/>
      <c r="H731" s="19" t="s">
        <v>44</v>
      </c>
      <c r="I731" s="19" t="s">
        <v>45</v>
      </c>
      <c r="J731" s="19" t="s">
        <v>46</v>
      </c>
      <c r="K731" s="19"/>
      <c r="L731" s="19"/>
      <c r="M731" s="19" t="s">
        <v>84</v>
      </c>
      <c r="N731" s="19" t="s">
        <v>3101</v>
      </c>
      <c r="O731" s="19"/>
      <c r="P731" s="19"/>
      <c r="Q731" s="19"/>
      <c r="R731" s="19" t="s">
        <v>3102</v>
      </c>
      <c r="S731" s="19"/>
      <c r="T731" s="19" t="s">
        <v>100</v>
      </c>
      <c r="U731" s="19" t="s">
        <v>75</v>
      </c>
      <c r="V731" s="19" t="s">
        <v>271</v>
      </c>
      <c r="W731" s="19" t="s">
        <v>57</v>
      </c>
      <c r="X731" s="19"/>
      <c r="Y731" s="19"/>
      <c r="Z731" s="19"/>
      <c r="AA731" s="19"/>
      <c r="AB731" s="19"/>
      <c r="AC731" s="19" t="s">
        <v>392</v>
      </c>
      <c r="AD731" s="19"/>
      <c r="AE731" s="19"/>
      <c r="AF731" s="19"/>
    </row>
    <row r="732" spans="1:34">
      <c r="A732" s="19">
        <v>722</v>
      </c>
      <c r="B732" s="19" t="s">
        <v>1322</v>
      </c>
      <c r="C732" s="19" t="s">
        <v>2119</v>
      </c>
      <c r="D732" s="19" t="str">
        <f>HYPERLINK("http://www.henontech.com/fieldsafety/harzard/harzard_show.php?rid=16832&amp;url=harzardrecs.php","阻垢剂计量泵漏液腐蚀计量泵")</f>
        <v>阻垢剂计量泵漏液腐蚀计量泵</v>
      </c>
      <c r="E732" s="19" t="s">
        <v>3103</v>
      </c>
      <c r="F732" s="24" t="s">
        <v>387</v>
      </c>
      <c r="G732" s="21" t="s">
        <v>43</v>
      </c>
      <c r="H732" s="19" t="s">
        <v>44</v>
      </c>
      <c r="I732" s="19" t="s">
        <v>67</v>
      </c>
      <c r="J732" s="19" t="s">
        <v>46</v>
      </c>
      <c r="K732" s="19"/>
      <c r="L732" s="19"/>
      <c r="M732" s="19" t="s">
        <v>84</v>
      </c>
      <c r="N732" s="19" t="s">
        <v>3104</v>
      </c>
      <c r="O732" s="19"/>
      <c r="P732" s="19"/>
      <c r="Q732" s="19"/>
      <c r="R732" s="19" t="s">
        <v>524</v>
      </c>
      <c r="S732" s="19" t="s">
        <v>3105</v>
      </c>
      <c r="T732" s="19" t="s">
        <v>100</v>
      </c>
      <c r="U732" s="19" t="s">
        <v>192</v>
      </c>
      <c r="V732" s="19" t="s">
        <v>271</v>
      </c>
      <c r="W732" s="19" t="s">
        <v>77</v>
      </c>
      <c r="X732" s="19"/>
      <c r="Y732" s="19"/>
      <c r="Z732" s="19"/>
      <c r="AA732" s="19">
        <v>0</v>
      </c>
      <c r="AB732" s="19"/>
      <c r="AC732" s="19" t="s">
        <v>392</v>
      </c>
      <c r="AD732" s="19"/>
      <c r="AE732" s="19"/>
      <c r="AF732" s="19"/>
    </row>
    <row r="733" spans="1:34" customHeight="1" ht="42">
      <c r="A733" s="19">
        <v>723</v>
      </c>
      <c r="B733" s="19" t="s">
        <v>1322</v>
      </c>
      <c r="C733" s="19" t="s">
        <v>1250</v>
      </c>
      <c r="D733" s="19" t="str">
        <f>HYPERLINK("http://www.henontech.com/fieldsafety/harzard/harzard_show.php?rid=16873&amp;url=harzardrecs.php","机侧二层平台南部地面破裂，一旦一名工作人员在清理卫生时地面塌陷，将会造成一人坠落死亡")</f>
        <v>机侧二层平台南部地面破裂，一旦一名工作人员在清理卫生时地面塌陷，将会造成一人坠落死亡</v>
      </c>
      <c r="E733" s="19" t="s">
        <v>512</v>
      </c>
      <c r="F733" s="25" t="s">
        <v>1853</v>
      </c>
      <c r="G733" s="21" t="s">
        <v>43</v>
      </c>
      <c r="H733" s="19" t="s">
        <v>44</v>
      </c>
      <c r="I733" s="19" t="s">
        <v>67</v>
      </c>
      <c r="J733" s="19" t="s">
        <v>401</v>
      </c>
      <c r="K733" s="19" t="s">
        <v>209</v>
      </c>
      <c r="L733" s="19" t="s">
        <v>48</v>
      </c>
      <c r="M733" s="19" t="s">
        <v>117</v>
      </c>
      <c r="N733" s="19" t="s">
        <v>1611</v>
      </c>
      <c r="O733" s="19" t="s">
        <v>117</v>
      </c>
      <c r="P733" s="19" t="s">
        <v>224</v>
      </c>
      <c r="Q733" s="19" t="s">
        <v>3097</v>
      </c>
      <c r="R733" s="19" t="s">
        <v>3106</v>
      </c>
      <c r="S733" s="19"/>
      <c r="T733" s="19" t="s">
        <v>54</v>
      </c>
      <c r="U733" s="19" t="s">
        <v>121</v>
      </c>
      <c r="V733" s="19" t="s">
        <v>101</v>
      </c>
      <c r="W733" s="19" t="s">
        <v>57</v>
      </c>
      <c r="X733" s="19" t="s">
        <v>123</v>
      </c>
      <c r="Y733" s="19"/>
      <c r="Z733" s="19" t="s">
        <v>3107</v>
      </c>
      <c r="AA733" s="19">
        <v>2</v>
      </c>
      <c r="AB733" s="19"/>
      <c r="AC733" s="19" t="s">
        <v>392</v>
      </c>
      <c r="AD733" s="19"/>
      <c r="AE733" s="19"/>
      <c r="AF733" s="19"/>
    </row>
    <row r="734" spans="1:34">
      <c r="A734" s="19">
        <v>724</v>
      </c>
      <c r="B734" s="19" t="s">
        <v>1322</v>
      </c>
      <c r="C734" s="19" t="s">
        <v>3092</v>
      </c>
      <c r="D734" s="19" t="str">
        <f>HYPERLINK("http://www.henontech.com/fieldsafety/harzard/harzard_show.php?rid=16876&amp;url=harzardrecs.php","干熄焦环境除尘爬梯护栏底部锈蚀严重，部分断裂，巡检人员巡检经过时，一旦护栏掉落，砸中巡检人员，造成一名人员肩部骨折，住院治疗60天。")</f>
        <v>干熄焦环境除尘爬梯护栏底部锈蚀严重，部分断裂，巡检人员巡检经过时，一旦护栏掉落，砸中巡检人员，造成一名人员肩部骨折，住院治疗60天。</v>
      </c>
      <c r="E734" s="19" t="s">
        <v>3095</v>
      </c>
      <c r="F734" s="26" t="s">
        <v>2393</v>
      </c>
      <c r="G734" s="19"/>
      <c r="H734" s="19" t="s">
        <v>44</v>
      </c>
      <c r="I734" s="19"/>
      <c r="J734" s="19" t="s">
        <v>46</v>
      </c>
      <c r="K734" s="19"/>
      <c r="L734" s="19"/>
      <c r="M734" s="19" t="s">
        <v>117</v>
      </c>
      <c r="N734" s="19" t="s">
        <v>3108</v>
      </c>
      <c r="O734" s="19"/>
      <c r="P734" s="19"/>
      <c r="Q734" s="19"/>
      <c r="R734" s="19" t="s">
        <v>1173</v>
      </c>
      <c r="S734" s="19"/>
      <c r="T734" s="19" t="s">
        <v>54</v>
      </c>
      <c r="U734" s="19" t="s">
        <v>55</v>
      </c>
      <c r="V734" s="19" t="s">
        <v>56</v>
      </c>
      <c r="W734" s="19" t="s">
        <v>57</v>
      </c>
      <c r="X734" s="19"/>
      <c r="Y734" s="19"/>
      <c r="Z734" s="19"/>
      <c r="AA734" s="19"/>
      <c r="AB734" s="19"/>
      <c r="AC734" s="19" t="s">
        <v>392</v>
      </c>
      <c r="AD734" s="19"/>
      <c r="AE734" s="19"/>
      <c r="AF734" s="19"/>
    </row>
    <row r="735" spans="1:34">
      <c r="A735" s="19">
        <v>725</v>
      </c>
      <c r="B735" s="19" t="s">
        <v>1322</v>
      </c>
      <c r="C735" s="19" t="s">
        <v>407</v>
      </c>
      <c r="D735" s="19" t="str">
        <f>HYPERLINK("http://www.henontech.com/fieldsafety/harzard/harzard_show.php?rid=16887&amp;url=harzardrecs.php","东一垃圾桶摆放在道路中央，一职工途经时，一旦不慎被绊倒，会导致手臂轻微擦伤，到医务室敷药后继续上岗作业。")</f>
        <v>东一垃圾桶摆放在道路中央，一职工途经时，一旦不慎被绊倒，会导致手臂轻微擦伤，到医务室敷药后继续上岗作业。</v>
      </c>
      <c r="E735" s="19" t="s">
        <v>2999</v>
      </c>
      <c r="F735" s="20" t="s">
        <v>42</v>
      </c>
      <c r="G735" s="21" t="s">
        <v>43</v>
      </c>
      <c r="H735" s="19" t="s">
        <v>44</v>
      </c>
      <c r="I735" s="19" t="s">
        <v>45</v>
      </c>
      <c r="J735" s="19" t="s">
        <v>68</v>
      </c>
      <c r="K735" s="19" t="s">
        <v>145</v>
      </c>
      <c r="L735" s="19" t="s">
        <v>573</v>
      </c>
      <c r="M735" s="19" t="s">
        <v>285</v>
      </c>
      <c r="N735" s="19" t="s">
        <v>2929</v>
      </c>
      <c r="O735" s="19" t="s">
        <v>285</v>
      </c>
      <c r="P735" s="19" t="s">
        <v>419</v>
      </c>
      <c r="Q735" s="19" t="s">
        <v>2902</v>
      </c>
      <c r="R735" s="19" t="s">
        <v>2322</v>
      </c>
      <c r="S735" s="19"/>
      <c r="T735" s="19" t="s">
        <v>54</v>
      </c>
      <c r="U735" s="19" t="s">
        <v>75</v>
      </c>
      <c r="V735" s="19" t="s">
        <v>101</v>
      </c>
      <c r="W735" s="19" t="s">
        <v>77</v>
      </c>
      <c r="X735" s="19"/>
      <c r="Y735" s="19"/>
      <c r="Z735" s="19" t="s">
        <v>3109</v>
      </c>
      <c r="AA735" s="19">
        <v>1</v>
      </c>
      <c r="AB735" s="19">
        <v>1</v>
      </c>
      <c r="AC735" s="19" t="s">
        <v>60</v>
      </c>
      <c r="AD735" s="19" t="s">
        <v>419</v>
      </c>
      <c r="AE735" s="19" t="s">
        <v>2902</v>
      </c>
      <c r="AF735" s="19"/>
    </row>
    <row r="736" spans="1:34" customHeight="1" ht="42">
      <c r="A736" s="19">
        <v>726</v>
      </c>
      <c r="B736" s="19" t="s">
        <v>1322</v>
      </c>
      <c r="C736" s="19" t="s">
        <v>485</v>
      </c>
      <c r="D736" s="19" t="str">
        <f>HYPERLINK("http://www.henontech.com/fieldsafety/harzard/harzard_show.php?rid=16893&amp;url=harzardrecs.php","导烟车1号机爪油缸长期使用，油封老化无法使用，造成装煤作业时机侧冒烟的环保事故被集团公司通报")</f>
        <v>导烟车1号机爪油缸长期使用，油封老化无法使用，造成装煤作业时机侧冒烟的环保事故被集团公司通报</v>
      </c>
      <c r="E736" s="19" t="s">
        <v>3110</v>
      </c>
      <c r="F736" s="25" t="s">
        <v>1853</v>
      </c>
      <c r="G736" s="21" t="s">
        <v>43</v>
      </c>
      <c r="H736" s="19" t="s">
        <v>44</v>
      </c>
      <c r="I736" s="19" t="s">
        <v>761</v>
      </c>
      <c r="J736" s="19" t="s">
        <v>46</v>
      </c>
      <c r="K736" s="19" t="s">
        <v>47</v>
      </c>
      <c r="L736" s="19"/>
      <c r="M736" s="19" t="s">
        <v>117</v>
      </c>
      <c r="N736" s="19" t="s">
        <v>3111</v>
      </c>
      <c r="O736" s="19" t="s">
        <v>117</v>
      </c>
      <c r="P736" s="19" t="s">
        <v>224</v>
      </c>
      <c r="Q736" s="19" t="s">
        <v>3097</v>
      </c>
      <c r="R736" s="19" t="s">
        <v>1622</v>
      </c>
      <c r="S736" s="19"/>
      <c r="T736" s="19" t="s">
        <v>985</v>
      </c>
      <c r="U736" s="19" t="s">
        <v>55</v>
      </c>
      <c r="V736" s="19" t="s">
        <v>271</v>
      </c>
      <c r="W736" s="19" t="s">
        <v>122</v>
      </c>
      <c r="X736" s="19" t="s">
        <v>58</v>
      </c>
      <c r="Y736" s="19"/>
      <c r="Z736" s="19" t="s">
        <v>3112</v>
      </c>
      <c r="AA736" s="19">
        <v>2</v>
      </c>
      <c r="AB736" s="19"/>
      <c r="AC736" s="19" t="s">
        <v>392</v>
      </c>
      <c r="AD736" s="19"/>
      <c r="AE736" s="19"/>
      <c r="AF736" s="19"/>
    </row>
    <row r="737" spans="1:34">
      <c r="A737" s="19">
        <v>727</v>
      </c>
      <c r="B737" s="19" t="s">
        <v>1322</v>
      </c>
      <c r="C737" s="19" t="s">
        <v>1961</v>
      </c>
      <c r="D737" s="19" t="str">
        <f>HYPERLINK("http://www.henontech.com/fieldsafety/harzard/harzard_show.php?rid=16894&amp;url=harzardrecs.php","两盐分离器附近的轴流风扇无安全护罩，如果一名操作工在带电运转时移动该风扇时，有可能会被气流把手臂吸进风扇内造成右手粉碎性骨折最后截肢，损工半年。")</f>
        <v>两盐分离器附近的轴流风扇无安全护罩，如果一名操作工在带电运转时移动该风扇时，有可能会被气流把手臂吸进风扇内造成右手粉碎性骨折最后截肢，损工半年。</v>
      </c>
      <c r="E737" s="19" t="s">
        <v>3113</v>
      </c>
      <c r="F737" s="26" t="s">
        <v>2393</v>
      </c>
      <c r="G737" s="19"/>
      <c r="H737" s="19" t="s">
        <v>44</v>
      </c>
      <c r="I737" s="19" t="s">
        <v>83</v>
      </c>
      <c r="J737" s="19" t="s">
        <v>46</v>
      </c>
      <c r="K737" s="19" t="s">
        <v>47</v>
      </c>
      <c r="L737" s="19" t="s">
        <v>48</v>
      </c>
      <c r="M737" s="19" t="s">
        <v>70</v>
      </c>
      <c r="N737" s="19" t="s">
        <v>1999</v>
      </c>
      <c r="O737" s="19"/>
      <c r="P737" s="19"/>
      <c r="Q737" s="19"/>
      <c r="R737" s="19" t="s">
        <v>3114</v>
      </c>
      <c r="S737" s="19"/>
      <c r="T737" s="19" t="s">
        <v>54</v>
      </c>
      <c r="U737" s="19" t="s">
        <v>121</v>
      </c>
      <c r="V737" s="19" t="s">
        <v>101</v>
      </c>
      <c r="W737" s="19" t="s">
        <v>57</v>
      </c>
      <c r="X737" s="19"/>
      <c r="Y737" s="19"/>
      <c r="Z737" s="19"/>
      <c r="AA737" s="19"/>
      <c r="AB737" s="19"/>
      <c r="AC737" s="19" t="s">
        <v>392</v>
      </c>
      <c r="AD737" s="19"/>
      <c r="AE737" s="19"/>
      <c r="AF737" s="19"/>
    </row>
    <row r="738" spans="1:34" customHeight="1" ht="42">
      <c r="A738" s="19">
        <v>728</v>
      </c>
      <c r="B738" s="19" t="s">
        <v>1322</v>
      </c>
      <c r="C738" s="19" t="s">
        <v>2431</v>
      </c>
      <c r="D738" s="19" t="str">
        <f>HYPERLINK("http://www.henontech.com/fieldsafety/harzard/harzard_show.php?rid=16899&amp;url=harzardrecs.php","脱硫塔控制电源箱防雨罩脱落，容易造成雨水进入配电盘，造成电器短路，导致脱硫工段停止运行")</f>
        <v>脱硫塔控制电源箱防雨罩脱落，容易造成雨水进入配电盘，造成电器短路，导致脱硫工段停止运行</v>
      </c>
      <c r="E738" s="19" t="s">
        <v>3115</v>
      </c>
      <c r="F738" s="25" t="s">
        <v>1853</v>
      </c>
      <c r="G738" s="21" t="s">
        <v>43</v>
      </c>
      <c r="H738" s="19" t="s">
        <v>44</v>
      </c>
      <c r="I738" s="19" t="s">
        <v>67</v>
      </c>
      <c r="J738" s="19" t="s">
        <v>68</v>
      </c>
      <c r="K738" s="19" t="s">
        <v>69</v>
      </c>
      <c r="L738" s="19" t="s">
        <v>48</v>
      </c>
      <c r="M738" s="19" t="s">
        <v>84</v>
      </c>
      <c r="N738" s="19" t="s">
        <v>2093</v>
      </c>
      <c r="O738" s="19" t="s">
        <v>84</v>
      </c>
      <c r="P738" s="19" t="s">
        <v>809</v>
      </c>
      <c r="Q738" s="19" t="s">
        <v>2179</v>
      </c>
      <c r="R738" s="19" t="s">
        <v>2823</v>
      </c>
      <c r="S738" s="19"/>
      <c r="T738" s="19" t="s">
        <v>270</v>
      </c>
      <c r="U738" s="19" t="s">
        <v>192</v>
      </c>
      <c r="V738" s="19" t="s">
        <v>101</v>
      </c>
      <c r="W738" s="19" t="s">
        <v>77</v>
      </c>
      <c r="X738" s="19" t="s">
        <v>58</v>
      </c>
      <c r="Y738" s="19"/>
      <c r="Z738" s="19" t="s">
        <v>3116</v>
      </c>
      <c r="AA738" s="19">
        <v>2</v>
      </c>
      <c r="AB738" s="19"/>
      <c r="AC738" s="19" t="s">
        <v>392</v>
      </c>
      <c r="AD738" s="19"/>
      <c r="AE738" s="19"/>
      <c r="AF738" s="19"/>
    </row>
    <row r="739" spans="1:34">
      <c r="A739" s="19">
        <v>729</v>
      </c>
      <c r="B739" s="19" t="s">
        <v>1322</v>
      </c>
      <c r="C739" s="19" t="s">
        <v>3117</v>
      </c>
      <c r="D739" s="19" t="str">
        <f>HYPERLINK("http://www.henontech.com/fieldsafety/harzard/harzard_show.php?rid=16905&amp;url=harzardrecs.php","5.5米机侧煤气水封未用彩钢瓦封堵，一旦工作人员在抽水作业时，会出现煤气中毒事故")</f>
        <v>5.5米机侧煤气水封未用彩钢瓦封堵，一旦工作人员在抽水作业时，会出现煤气中毒事故</v>
      </c>
      <c r="E739" s="19" t="s">
        <v>3118</v>
      </c>
      <c r="F739" s="24" t="s">
        <v>387</v>
      </c>
      <c r="G739" s="21" t="s">
        <v>43</v>
      </c>
      <c r="H739" s="19" t="s">
        <v>44</v>
      </c>
      <c r="I739" s="19" t="s">
        <v>67</v>
      </c>
      <c r="J739" s="19" t="s">
        <v>68</v>
      </c>
      <c r="K739" s="19" t="s">
        <v>47</v>
      </c>
      <c r="L739" s="19" t="s">
        <v>48</v>
      </c>
      <c r="M739" s="19" t="s">
        <v>117</v>
      </c>
      <c r="N739" s="19" t="s">
        <v>2113</v>
      </c>
      <c r="O739" s="19"/>
      <c r="P739" s="19"/>
      <c r="Q739" s="19"/>
      <c r="R739" s="19" t="s">
        <v>3119</v>
      </c>
      <c r="S739" s="19" t="s">
        <v>3120</v>
      </c>
      <c r="T739" s="19" t="s">
        <v>54</v>
      </c>
      <c r="U739" s="19" t="s">
        <v>75</v>
      </c>
      <c r="V739" s="19" t="s">
        <v>101</v>
      </c>
      <c r="W739" s="19" t="s">
        <v>77</v>
      </c>
      <c r="X739" s="19"/>
      <c r="Y739" s="19"/>
      <c r="Z739" s="19"/>
      <c r="AA739" s="19">
        <v>0</v>
      </c>
      <c r="AB739" s="19"/>
      <c r="AC739" s="19" t="s">
        <v>392</v>
      </c>
      <c r="AD739" s="19"/>
      <c r="AE739" s="19"/>
      <c r="AF739" s="19"/>
    </row>
    <row r="740" spans="1:34">
      <c r="A740" s="19">
        <v>730</v>
      </c>
      <c r="B740" s="19" t="s">
        <v>1322</v>
      </c>
      <c r="C740" s="19" t="s">
        <v>2166</v>
      </c>
      <c r="D740" s="19" t="str">
        <f>HYPERLINK("http://www.henontech.com/fieldsafety/harzard/harzard_show.php?rid=16907&amp;url=harzardrecs.php","南冷凝1#高压氨水泵压力不稳定，装煤时压力波动大，有时显示负数，加完煤后，变频、压力降不下来。假如操作人员发现不及时，可能会造成高压泵机封泄漏影响生产，焦炉冒烟环境污染事故，集团公司通报批评！")</f>
        <v>南冷凝1#高压氨水泵压力不稳定，装煤时压力波动大，有时显示负数，加完煤后，变频、压力降不下来。假如操作人员发现不及时，可能会造成高压泵机封泄漏影响生产，焦炉冒烟环境污染事故，集团公司通报批评！</v>
      </c>
      <c r="E740" s="19" t="s">
        <v>3121</v>
      </c>
      <c r="F740" s="26" t="s">
        <v>2393</v>
      </c>
      <c r="G740" s="19"/>
      <c r="H740" s="19" t="s">
        <v>44</v>
      </c>
      <c r="I740" s="19" t="s">
        <v>45</v>
      </c>
      <c r="J740" s="19" t="s">
        <v>980</v>
      </c>
      <c r="K740" s="19" t="s">
        <v>145</v>
      </c>
      <c r="L740" s="19" t="s">
        <v>48</v>
      </c>
      <c r="M740" s="19" t="s">
        <v>70</v>
      </c>
      <c r="N740" s="19" t="s">
        <v>2168</v>
      </c>
      <c r="O740" s="19"/>
      <c r="P740" s="19"/>
      <c r="Q740" s="19"/>
      <c r="R740" s="19" t="s">
        <v>725</v>
      </c>
      <c r="S740" s="19"/>
      <c r="T740" s="19" t="s">
        <v>270</v>
      </c>
      <c r="U740" s="19" t="s">
        <v>192</v>
      </c>
      <c r="V740" s="19" t="s">
        <v>56</v>
      </c>
      <c r="W740" s="19" t="s">
        <v>77</v>
      </c>
      <c r="X740" s="19"/>
      <c r="Y740" s="19"/>
      <c r="Z740" s="19"/>
      <c r="AA740" s="19"/>
      <c r="AB740" s="19"/>
      <c r="AC740" s="19" t="s">
        <v>392</v>
      </c>
      <c r="AD740" s="19"/>
      <c r="AE740" s="19"/>
      <c r="AF740" s="19"/>
    </row>
    <row r="741" spans="1:34">
      <c r="A741" s="19">
        <v>731</v>
      </c>
      <c r="B741" s="19" t="s">
        <v>1322</v>
      </c>
      <c r="C741" s="19" t="s">
        <v>1063</v>
      </c>
      <c r="D741" s="19" t="str">
        <f>HYPERLINK("http://www.henontech.com/fieldsafety/harzard/harzard_show.php?rid=16912&amp;url=harzardrecs.php","南冷凝现场杂物摆放不规范，导致夜班一名巡检人员，脚踝划伤，去医务室处理后正常上班")</f>
        <v>南冷凝现场杂物摆放不规范，导致夜班一名巡检人员，脚踝划伤，去医务室处理后正常上班</v>
      </c>
      <c r="E741" s="19" t="s">
        <v>3122</v>
      </c>
      <c r="F741" s="26" t="s">
        <v>2393</v>
      </c>
      <c r="G741" s="19"/>
      <c r="H741" s="19" t="s">
        <v>44</v>
      </c>
      <c r="I741" s="19"/>
      <c r="J741" s="19" t="s">
        <v>46</v>
      </c>
      <c r="K741" s="19" t="s">
        <v>69</v>
      </c>
      <c r="L741" s="19"/>
      <c r="M741" s="19" t="s">
        <v>70</v>
      </c>
      <c r="N741" s="19" t="s">
        <v>2060</v>
      </c>
      <c r="O741" s="19"/>
      <c r="P741" s="19"/>
      <c r="Q741" s="19"/>
      <c r="R741" s="19" t="s">
        <v>1063</v>
      </c>
      <c r="S741" s="19"/>
      <c r="T741" s="19" t="s">
        <v>54</v>
      </c>
      <c r="U741" s="19" t="s">
        <v>75</v>
      </c>
      <c r="V741" s="19" t="s">
        <v>56</v>
      </c>
      <c r="W741" s="19" t="s">
        <v>138</v>
      </c>
      <c r="X741" s="19"/>
      <c r="Y741" s="19"/>
      <c r="Z741" s="19"/>
      <c r="AA741" s="19"/>
      <c r="AB741" s="19"/>
      <c r="AC741" s="19" t="s">
        <v>392</v>
      </c>
      <c r="AD741" s="19"/>
      <c r="AE741" s="19"/>
      <c r="AF741"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M1"/>
    <mergeCell ref="E2:M2"/>
    <mergeCell ref="E3:M3"/>
    <mergeCell ref="A4:F4"/>
    <mergeCell ref="G4:S4"/>
    <mergeCell ref="T4:W4"/>
    <mergeCell ref="X4:Y4"/>
    <mergeCell ref="Z4:AF4"/>
    <mergeCell ref="A6:A6"/>
    <mergeCell ref="B6:B6"/>
    <mergeCell ref="C6:C6"/>
    <mergeCell ref="F6:F6"/>
    <mergeCell ref="G6:G6"/>
    <mergeCell ref="H6:H6"/>
    <mergeCell ref="M6:M6"/>
    <mergeCell ref="N6:N6"/>
    <mergeCell ref="O6:O6"/>
    <mergeCell ref="P6:P6"/>
    <mergeCell ref="Q6:Q6"/>
    <mergeCell ref="R6:R6"/>
    <mergeCell ref="S6:S6"/>
    <mergeCell ref="X6:X6"/>
    <mergeCell ref="Y6:Y6"/>
    <mergeCell ref="Z6:Z6"/>
    <mergeCell ref="AA6:AA6"/>
    <mergeCell ref="AB6:AB6"/>
    <mergeCell ref="AC6:AC6"/>
    <mergeCell ref="AD6:AD6"/>
    <mergeCell ref="AE6:AE6"/>
    <mergeCell ref="AF6:AF6"/>
    <mergeCell ref="A7:A7"/>
    <mergeCell ref="B7:B7"/>
    <mergeCell ref="C7:C7"/>
    <mergeCell ref="F7:F7"/>
    <mergeCell ref="G7:G7"/>
    <mergeCell ref="H7:H7"/>
    <mergeCell ref="M7:M7"/>
    <mergeCell ref="N7:N7"/>
    <mergeCell ref="O7:O7"/>
    <mergeCell ref="P7:P7"/>
    <mergeCell ref="Q7:Q7"/>
    <mergeCell ref="R7:R7"/>
    <mergeCell ref="S7:S7"/>
    <mergeCell ref="X7:X7"/>
    <mergeCell ref="Y7:Y7"/>
    <mergeCell ref="Z7:Z7"/>
    <mergeCell ref="AA7:AA7"/>
    <mergeCell ref="AB7:AB7"/>
    <mergeCell ref="AC7:AC7"/>
    <mergeCell ref="AD7:AD7"/>
    <mergeCell ref="AE7:AE7"/>
    <mergeCell ref="AF7:AF7"/>
    <mergeCell ref="A8:A8"/>
    <mergeCell ref="B8:B8"/>
    <mergeCell ref="C8:C8"/>
    <mergeCell ref="F8:F8"/>
    <mergeCell ref="G8:G8"/>
    <mergeCell ref="H8:H8"/>
    <mergeCell ref="M8:M8"/>
    <mergeCell ref="N8:N8"/>
    <mergeCell ref="O8:O8"/>
    <mergeCell ref="P8:P8"/>
    <mergeCell ref="Q8:Q8"/>
    <mergeCell ref="R8:R8"/>
    <mergeCell ref="S8:S8"/>
    <mergeCell ref="X8:X8"/>
    <mergeCell ref="Y8:Y8"/>
    <mergeCell ref="Z8:Z8"/>
    <mergeCell ref="AA8:AA8"/>
    <mergeCell ref="AB8:AB8"/>
    <mergeCell ref="AC8:AC8"/>
    <mergeCell ref="AD8:AD8"/>
    <mergeCell ref="AE8:AE8"/>
    <mergeCell ref="AF8:AF8"/>
    <mergeCell ref="A9:A9"/>
    <mergeCell ref="B9:B9"/>
    <mergeCell ref="C9:C9"/>
    <mergeCell ref="F9:F9"/>
    <mergeCell ref="G9:G9"/>
    <mergeCell ref="H9:H9"/>
    <mergeCell ref="M9:M9"/>
    <mergeCell ref="N9:N9"/>
    <mergeCell ref="O9:O9"/>
    <mergeCell ref="P9:P9"/>
    <mergeCell ref="Q9:Q9"/>
    <mergeCell ref="R9:R9"/>
    <mergeCell ref="S9:S9"/>
    <mergeCell ref="X9:X9"/>
    <mergeCell ref="Y9:Y9"/>
    <mergeCell ref="Z9:Z9"/>
    <mergeCell ref="AA9:AA9"/>
    <mergeCell ref="AB9:AB9"/>
    <mergeCell ref="AC9:AC9"/>
    <mergeCell ref="AD9:AD9"/>
    <mergeCell ref="AE9:AE9"/>
    <mergeCell ref="AF9:AF9"/>
    <mergeCell ref="A10:A10"/>
    <mergeCell ref="B10:B10"/>
    <mergeCell ref="C10:C10"/>
    <mergeCell ref="F10:F10"/>
    <mergeCell ref="G10:G10"/>
    <mergeCell ref="H10:H10"/>
    <mergeCell ref="M10:M10"/>
    <mergeCell ref="N10:N10"/>
    <mergeCell ref="O10:O10"/>
    <mergeCell ref="P10:P10"/>
    <mergeCell ref="Q10:Q10"/>
    <mergeCell ref="R10:R10"/>
    <mergeCell ref="S10:S10"/>
    <mergeCell ref="X10:X10"/>
    <mergeCell ref="Y10:Y10"/>
    <mergeCell ref="Z10:Z10"/>
    <mergeCell ref="AA10:AA10"/>
    <mergeCell ref="AB10:AB10"/>
    <mergeCell ref="AC10:AC10"/>
    <mergeCell ref="AD10:AD10"/>
    <mergeCell ref="AE10:AE10"/>
    <mergeCell ref="AF10:AF10"/>
    <mergeCell ref="A11:A11"/>
    <mergeCell ref="B11:B11"/>
    <mergeCell ref="C11:C11"/>
    <mergeCell ref="F11:F11"/>
    <mergeCell ref="G11:G11"/>
    <mergeCell ref="H11:H11"/>
    <mergeCell ref="M11:M11"/>
    <mergeCell ref="N11:N11"/>
    <mergeCell ref="O11:O11"/>
    <mergeCell ref="P11:P11"/>
    <mergeCell ref="Q11:Q11"/>
    <mergeCell ref="R11:R11"/>
    <mergeCell ref="S11:S11"/>
    <mergeCell ref="X11:X11"/>
    <mergeCell ref="Y11:Y11"/>
    <mergeCell ref="Z11:Z11"/>
    <mergeCell ref="AA11:AA11"/>
    <mergeCell ref="AB11:AB11"/>
    <mergeCell ref="AC11:AC11"/>
    <mergeCell ref="AD11:AD11"/>
    <mergeCell ref="AE11:AE11"/>
    <mergeCell ref="AF11:AF11"/>
    <mergeCell ref="A12:A12"/>
    <mergeCell ref="B12:B12"/>
    <mergeCell ref="C12:C12"/>
    <mergeCell ref="F12:F12"/>
    <mergeCell ref="G12:G12"/>
    <mergeCell ref="H12:H12"/>
    <mergeCell ref="M12:M12"/>
    <mergeCell ref="N12:N12"/>
    <mergeCell ref="O12:O12"/>
    <mergeCell ref="P12:P12"/>
    <mergeCell ref="Q12:Q12"/>
    <mergeCell ref="R12:R12"/>
    <mergeCell ref="S12:S12"/>
    <mergeCell ref="X12:X12"/>
    <mergeCell ref="Y12:Y12"/>
    <mergeCell ref="Z12:Z12"/>
    <mergeCell ref="AA12:AA12"/>
    <mergeCell ref="AB12:AB12"/>
    <mergeCell ref="AC12:AC12"/>
    <mergeCell ref="AD12:AD12"/>
    <mergeCell ref="AE12:AE12"/>
    <mergeCell ref="AF12:AF12"/>
    <mergeCell ref="A13:A13"/>
    <mergeCell ref="B13:B13"/>
    <mergeCell ref="C13:C13"/>
    <mergeCell ref="F13:F13"/>
    <mergeCell ref="G13:G13"/>
    <mergeCell ref="H13:H13"/>
    <mergeCell ref="M13:M13"/>
    <mergeCell ref="N13:N13"/>
    <mergeCell ref="O13:O13"/>
    <mergeCell ref="P13:P13"/>
    <mergeCell ref="Q13:Q13"/>
    <mergeCell ref="R13:R13"/>
    <mergeCell ref="S13:S13"/>
    <mergeCell ref="X13:X13"/>
    <mergeCell ref="Y13:Y13"/>
    <mergeCell ref="Z13:Z13"/>
    <mergeCell ref="AA13:AA13"/>
    <mergeCell ref="AB13:AB13"/>
    <mergeCell ref="AC13:AC13"/>
    <mergeCell ref="AD13:AD13"/>
    <mergeCell ref="AE13:AE13"/>
    <mergeCell ref="AF13:AF13"/>
    <mergeCell ref="A14:A14"/>
    <mergeCell ref="B14:B14"/>
    <mergeCell ref="C14:C14"/>
    <mergeCell ref="F14:F14"/>
    <mergeCell ref="G14:G14"/>
    <mergeCell ref="H14:H14"/>
    <mergeCell ref="M14:M14"/>
    <mergeCell ref="N14:N14"/>
    <mergeCell ref="O14:O14"/>
    <mergeCell ref="P14:P14"/>
    <mergeCell ref="Q14:Q14"/>
    <mergeCell ref="R14:R14"/>
    <mergeCell ref="S14:S14"/>
    <mergeCell ref="X14:X14"/>
    <mergeCell ref="Y14:Y14"/>
    <mergeCell ref="Z14:Z14"/>
    <mergeCell ref="AA14:AA14"/>
    <mergeCell ref="AB14:AB14"/>
    <mergeCell ref="AC14:AC14"/>
    <mergeCell ref="AD14:AD14"/>
    <mergeCell ref="AE14:AE14"/>
    <mergeCell ref="AF14:AF14"/>
    <mergeCell ref="A15:A15"/>
    <mergeCell ref="B15:B15"/>
    <mergeCell ref="C15:C15"/>
    <mergeCell ref="F15:F15"/>
    <mergeCell ref="G15:G15"/>
    <mergeCell ref="H15:H15"/>
    <mergeCell ref="M15:M15"/>
    <mergeCell ref="N15:N15"/>
    <mergeCell ref="O15:O15"/>
    <mergeCell ref="P15:P15"/>
    <mergeCell ref="Q15:Q15"/>
    <mergeCell ref="R15:R15"/>
    <mergeCell ref="S15:S15"/>
    <mergeCell ref="X15:X15"/>
    <mergeCell ref="Y15:Y15"/>
    <mergeCell ref="Z15:Z15"/>
    <mergeCell ref="AA15:AA15"/>
    <mergeCell ref="AB15:AB15"/>
    <mergeCell ref="AC15:AC15"/>
    <mergeCell ref="AD15:AD15"/>
    <mergeCell ref="AE15:AE15"/>
    <mergeCell ref="AF15:AF15"/>
    <mergeCell ref="A16:A16"/>
    <mergeCell ref="B16:B16"/>
    <mergeCell ref="C16:C16"/>
    <mergeCell ref="F16:F16"/>
    <mergeCell ref="G16:G16"/>
    <mergeCell ref="H16:H16"/>
    <mergeCell ref="M16:M16"/>
    <mergeCell ref="N16:N16"/>
    <mergeCell ref="O16:O16"/>
    <mergeCell ref="P16:P16"/>
    <mergeCell ref="Q16:Q16"/>
    <mergeCell ref="R16:R16"/>
    <mergeCell ref="S16:S16"/>
    <mergeCell ref="X16:X16"/>
    <mergeCell ref="Y16:Y16"/>
    <mergeCell ref="Z16:Z16"/>
    <mergeCell ref="AA16:AA16"/>
    <mergeCell ref="AB16:AB16"/>
    <mergeCell ref="AC16:AC16"/>
    <mergeCell ref="AD16:AD16"/>
    <mergeCell ref="AE16:AE16"/>
    <mergeCell ref="AF16:AF16"/>
    <mergeCell ref="A17:A17"/>
    <mergeCell ref="B17:B17"/>
    <mergeCell ref="C17:C17"/>
    <mergeCell ref="F17:F17"/>
    <mergeCell ref="G17:G17"/>
    <mergeCell ref="H17:H17"/>
    <mergeCell ref="M17:M17"/>
    <mergeCell ref="N17:N17"/>
    <mergeCell ref="O17:O17"/>
    <mergeCell ref="P17:P17"/>
    <mergeCell ref="Q17:Q17"/>
    <mergeCell ref="R17:R17"/>
    <mergeCell ref="S17:S17"/>
    <mergeCell ref="X17:X17"/>
    <mergeCell ref="Y17:Y17"/>
    <mergeCell ref="Z17:Z17"/>
    <mergeCell ref="AA17:AA17"/>
    <mergeCell ref="AB17:AB17"/>
    <mergeCell ref="AC17:AC17"/>
    <mergeCell ref="AD17:AD17"/>
    <mergeCell ref="AE17:AE17"/>
    <mergeCell ref="AF17:AF17"/>
    <mergeCell ref="A18:A18"/>
    <mergeCell ref="B18:B18"/>
    <mergeCell ref="C18:C18"/>
    <mergeCell ref="F18:F18"/>
    <mergeCell ref="G18:G18"/>
    <mergeCell ref="H18:H18"/>
    <mergeCell ref="M18:M18"/>
    <mergeCell ref="N18:N18"/>
    <mergeCell ref="O18:O18"/>
    <mergeCell ref="P18:P18"/>
    <mergeCell ref="Q18:Q18"/>
    <mergeCell ref="R18:R18"/>
    <mergeCell ref="S18:S18"/>
    <mergeCell ref="X18:X18"/>
    <mergeCell ref="Y18:Y18"/>
    <mergeCell ref="Z18:Z18"/>
    <mergeCell ref="AA18:AA18"/>
    <mergeCell ref="AB18:AB18"/>
    <mergeCell ref="AC18:AC18"/>
    <mergeCell ref="AD18:AD18"/>
    <mergeCell ref="AE18:AE18"/>
    <mergeCell ref="AF18:AF18"/>
    <mergeCell ref="A19:A19"/>
    <mergeCell ref="B19:B19"/>
    <mergeCell ref="C19:C19"/>
    <mergeCell ref="F19:F19"/>
    <mergeCell ref="G19:G19"/>
    <mergeCell ref="H19:H19"/>
    <mergeCell ref="M19:M19"/>
    <mergeCell ref="N19:N19"/>
    <mergeCell ref="O19:O19"/>
    <mergeCell ref="P19:P19"/>
    <mergeCell ref="Q19:Q19"/>
    <mergeCell ref="R19:R19"/>
    <mergeCell ref="S19:S19"/>
    <mergeCell ref="X19:X19"/>
    <mergeCell ref="Y19:Y19"/>
    <mergeCell ref="Z19:Z19"/>
    <mergeCell ref="AA19:AA19"/>
    <mergeCell ref="AB19:AB19"/>
    <mergeCell ref="AC19:AC19"/>
    <mergeCell ref="AD19:AD19"/>
    <mergeCell ref="AE19:AE19"/>
    <mergeCell ref="AF19:AF19"/>
    <mergeCell ref="A20:A20"/>
    <mergeCell ref="B20:B20"/>
    <mergeCell ref="C20:C20"/>
    <mergeCell ref="F20:F20"/>
    <mergeCell ref="G20:G20"/>
    <mergeCell ref="H20:H20"/>
    <mergeCell ref="M20:M20"/>
    <mergeCell ref="N20:N20"/>
    <mergeCell ref="O20:O20"/>
    <mergeCell ref="P20:P20"/>
    <mergeCell ref="Q20:Q20"/>
    <mergeCell ref="R20:R20"/>
    <mergeCell ref="S20:S20"/>
    <mergeCell ref="X20:X20"/>
    <mergeCell ref="Y20:Y20"/>
    <mergeCell ref="Z20:Z20"/>
    <mergeCell ref="AA20:AA20"/>
    <mergeCell ref="AB20:AB20"/>
    <mergeCell ref="AC20:AC20"/>
    <mergeCell ref="AD20:AD20"/>
    <mergeCell ref="AE20:AE20"/>
    <mergeCell ref="AF20:AF20"/>
    <mergeCell ref="A21:A22"/>
    <mergeCell ref="B21:B22"/>
    <mergeCell ref="C21:C22"/>
    <mergeCell ref="F21:F22"/>
    <mergeCell ref="G21:G22"/>
    <mergeCell ref="H21:H22"/>
    <mergeCell ref="M21:M22"/>
    <mergeCell ref="N21:N22"/>
    <mergeCell ref="O21:O22"/>
    <mergeCell ref="P21:P22"/>
    <mergeCell ref="Q21:Q22"/>
    <mergeCell ref="R21:R22"/>
    <mergeCell ref="S21:S22"/>
    <mergeCell ref="X21:X22"/>
    <mergeCell ref="Y21:Y22"/>
    <mergeCell ref="Z21:Z22"/>
    <mergeCell ref="AA21:AA22"/>
    <mergeCell ref="AB21:AB22"/>
    <mergeCell ref="AC21:AC22"/>
    <mergeCell ref="AD21:AD22"/>
    <mergeCell ref="AE21:AE22"/>
    <mergeCell ref="AF21:AF22"/>
    <mergeCell ref="A23:A23"/>
    <mergeCell ref="B23:B23"/>
    <mergeCell ref="C23:C23"/>
    <mergeCell ref="F23:F23"/>
    <mergeCell ref="G23:G23"/>
    <mergeCell ref="H23:H23"/>
    <mergeCell ref="M23:M23"/>
    <mergeCell ref="N23:N23"/>
    <mergeCell ref="O23:O23"/>
    <mergeCell ref="P23:P23"/>
    <mergeCell ref="Q23:Q23"/>
    <mergeCell ref="R23:R23"/>
    <mergeCell ref="S23:S23"/>
    <mergeCell ref="X23:X23"/>
    <mergeCell ref="Y23:Y23"/>
    <mergeCell ref="Z23:Z23"/>
    <mergeCell ref="AA23:AA23"/>
    <mergeCell ref="AB23:AB23"/>
    <mergeCell ref="AC23:AC23"/>
    <mergeCell ref="AD23:AD23"/>
    <mergeCell ref="AE23:AE23"/>
    <mergeCell ref="AF23:AF23"/>
    <mergeCell ref="A24:A24"/>
    <mergeCell ref="B24:B24"/>
    <mergeCell ref="C24:C24"/>
    <mergeCell ref="F24:F24"/>
    <mergeCell ref="G24:G24"/>
    <mergeCell ref="H24:H24"/>
    <mergeCell ref="M24:M24"/>
    <mergeCell ref="N24:N24"/>
    <mergeCell ref="O24:O24"/>
    <mergeCell ref="P24:P24"/>
    <mergeCell ref="Q24:Q24"/>
    <mergeCell ref="R24:R24"/>
    <mergeCell ref="S24:S24"/>
    <mergeCell ref="X24:X24"/>
    <mergeCell ref="Y24:Y24"/>
    <mergeCell ref="Z24:Z24"/>
    <mergeCell ref="AA24:AA24"/>
    <mergeCell ref="AB24:AB24"/>
    <mergeCell ref="AC24:AC24"/>
    <mergeCell ref="AD24:AD24"/>
    <mergeCell ref="AE24:AE24"/>
    <mergeCell ref="AF24:AF24"/>
    <mergeCell ref="A25:A25"/>
    <mergeCell ref="B25:B25"/>
    <mergeCell ref="C25:C25"/>
    <mergeCell ref="F25:F25"/>
    <mergeCell ref="G25:G25"/>
    <mergeCell ref="H25:H25"/>
    <mergeCell ref="M25:M25"/>
    <mergeCell ref="N25:N25"/>
    <mergeCell ref="O25:O25"/>
    <mergeCell ref="P25:P25"/>
    <mergeCell ref="Q25:Q25"/>
    <mergeCell ref="R25:R25"/>
    <mergeCell ref="S25:S25"/>
    <mergeCell ref="X25:X25"/>
    <mergeCell ref="Y25:Y25"/>
    <mergeCell ref="Z25:Z25"/>
    <mergeCell ref="AA25:AA25"/>
    <mergeCell ref="AB25:AB25"/>
    <mergeCell ref="AC25:AC25"/>
    <mergeCell ref="AD25:AD25"/>
    <mergeCell ref="AE25:AE25"/>
    <mergeCell ref="AF25:AF25"/>
    <mergeCell ref="A26:A26"/>
    <mergeCell ref="B26:B26"/>
    <mergeCell ref="C26:C26"/>
    <mergeCell ref="F26:F26"/>
    <mergeCell ref="G26:G26"/>
    <mergeCell ref="H26:H26"/>
    <mergeCell ref="M26:M26"/>
    <mergeCell ref="N26:N26"/>
    <mergeCell ref="O26:O26"/>
    <mergeCell ref="P26:P26"/>
    <mergeCell ref="Q26:Q26"/>
    <mergeCell ref="R26:R26"/>
    <mergeCell ref="S26:S26"/>
    <mergeCell ref="X26:X26"/>
    <mergeCell ref="Y26:Y26"/>
    <mergeCell ref="Z26:Z26"/>
    <mergeCell ref="AA26:AA26"/>
    <mergeCell ref="AB26:AB26"/>
    <mergeCell ref="AC26:AC26"/>
    <mergeCell ref="AD26:AD26"/>
    <mergeCell ref="AE26:AE26"/>
    <mergeCell ref="AF26:AF26"/>
    <mergeCell ref="A27:A27"/>
    <mergeCell ref="B27:B27"/>
    <mergeCell ref="C27:C27"/>
    <mergeCell ref="F27:F27"/>
    <mergeCell ref="G27:G27"/>
    <mergeCell ref="H27:H27"/>
    <mergeCell ref="M27:M27"/>
    <mergeCell ref="N27:N27"/>
    <mergeCell ref="O27:O27"/>
    <mergeCell ref="P27:P27"/>
    <mergeCell ref="Q27:Q27"/>
    <mergeCell ref="R27:R27"/>
    <mergeCell ref="S27:S27"/>
    <mergeCell ref="X27:X27"/>
    <mergeCell ref="Y27:Y27"/>
    <mergeCell ref="Z27:Z27"/>
    <mergeCell ref="AA27:AA27"/>
    <mergeCell ref="AB27:AB27"/>
    <mergeCell ref="AC27:AC27"/>
    <mergeCell ref="AD27:AD27"/>
    <mergeCell ref="AE27:AE27"/>
    <mergeCell ref="AF27:AF27"/>
    <mergeCell ref="A28:A28"/>
    <mergeCell ref="B28:B28"/>
    <mergeCell ref="C28:C28"/>
    <mergeCell ref="F28:F28"/>
    <mergeCell ref="G28:G28"/>
    <mergeCell ref="H28:H28"/>
    <mergeCell ref="M28:M28"/>
    <mergeCell ref="N28:N28"/>
    <mergeCell ref="O28:O28"/>
    <mergeCell ref="P28:P28"/>
    <mergeCell ref="Q28:Q28"/>
    <mergeCell ref="R28:R28"/>
    <mergeCell ref="S28:S28"/>
    <mergeCell ref="X28:X28"/>
    <mergeCell ref="Y28:Y28"/>
    <mergeCell ref="Z28:Z28"/>
    <mergeCell ref="AA28:AA28"/>
    <mergeCell ref="AB28:AB28"/>
    <mergeCell ref="AC28:AC28"/>
    <mergeCell ref="AD28:AD28"/>
    <mergeCell ref="AE28:AE28"/>
    <mergeCell ref="AF28:AF28"/>
    <mergeCell ref="A29:A29"/>
    <mergeCell ref="B29:B29"/>
    <mergeCell ref="C29:C29"/>
    <mergeCell ref="F29:F29"/>
    <mergeCell ref="G29:G29"/>
    <mergeCell ref="H29:H29"/>
    <mergeCell ref="M29:M29"/>
    <mergeCell ref="N29:N29"/>
    <mergeCell ref="O29:O29"/>
    <mergeCell ref="P29:P29"/>
    <mergeCell ref="Q29:Q29"/>
    <mergeCell ref="R29:R29"/>
    <mergeCell ref="S29:S29"/>
    <mergeCell ref="X29:X29"/>
    <mergeCell ref="Y29:Y29"/>
    <mergeCell ref="Z29:Z29"/>
    <mergeCell ref="AA29:AA29"/>
    <mergeCell ref="AB29:AB29"/>
    <mergeCell ref="AC29:AC29"/>
    <mergeCell ref="AD29:AD29"/>
    <mergeCell ref="AE29:AE29"/>
    <mergeCell ref="AF29:AF29"/>
    <mergeCell ref="A30:A30"/>
    <mergeCell ref="B30:B30"/>
    <mergeCell ref="C30:C30"/>
    <mergeCell ref="F30:F30"/>
    <mergeCell ref="G30:G30"/>
    <mergeCell ref="H30:H30"/>
    <mergeCell ref="M30:M30"/>
    <mergeCell ref="N30:N30"/>
    <mergeCell ref="O30:O30"/>
    <mergeCell ref="P30:P30"/>
    <mergeCell ref="Q30:Q30"/>
    <mergeCell ref="R30:R30"/>
    <mergeCell ref="S30:S30"/>
    <mergeCell ref="X30:X30"/>
    <mergeCell ref="Y30:Y30"/>
    <mergeCell ref="Z30:Z30"/>
    <mergeCell ref="AA30:AA30"/>
    <mergeCell ref="AB30:AB30"/>
    <mergeCell ref="AC30:AC30"/>
    <mergeCell ref="AD30:AD30"/>
    <mergeCell ref="AE30:AE30"/>
    <mergeCell ref="AF30:AF30"/>
    <mergeCell ref="A31:A31"/>
    <mergeCell ref="B31:B31"/>
    <mergeCell ref="C31:C31"/>
    <mergeCell ref="F31:F31"/>
    <mergeCell ref="G31:G31"/>
    <mergeCell ref="H31:H31"/>
    <mergeCell ref="M31:M31"/>
    <mergeCell ref="N31:N31"/>
    <mergeCell ref="O31:O31"/>
    <mergeCell ref="P31:P31"/>
    <mergeCell ref="Q31:Q31"/>
    <mergeCell ref="R31:R31"/>
    <mergeCell ref="S31:S31"/>
    <mergeCell ref="X31:X31"/>
    <mergeCell ref="Y31:Y31"/>
    <mergeCell ref="Z31:Z31"/>
    <mergeCell ref="AA31:AA31"/>
    <mergeCell ref="AB31:AB31"/>
    <mergeCell ref="AC31:AC31"/>
    <mergeCell ref="AD31:AD31"/>
    <mergeCell ref="AE31:AE31"/>
    <mergeCell ref="AF31:AF31"/>
    <mergeCell ref="A32:A32"/>
    <mergeCell ref="B32:B32"/>
    <mergeCell ref="C32:C32"/>
    <mergeCell ref="F32:F32"/>
    <mergeCell ref="G32:G32"/>
    <mergeCell ref="H32:H32"/>
    <mergeCell ref="M32:M32"/>
    <mergeCell ref="N32:N32"/>
    <mergeCell ref="O32:O32"/>
    <mergeCell ref="P32:P32"/>
    <mergeCell ref="Q32:Q32"/>
    <mergeCell ref="R32:R32"/>
    <mergeCell ref="S32:S32"/>
    <mergeCell ref="X32:X32"/>
    <mergeCell ref="Y32:Y32"/>
    <mergeCell ref="Z32:Z32"/>
    <mergeCell ref="AA32:AA32"/>
    <mergeCell ref="AB32:AB32"/>
    <mergeCell ref="AC32:AC32"/>
    <mergeCell ref="AD32:AD32"/>
    <mergeCell ref="AE32:AE32"/>
    <mergeCell ref="AF32:AF32"/>
    <mergeCell ref="A33:A33"/>
    <mergeCell ref="B33:B33"/>
    <mergeCell ref="C33:C33"/>
    <mergeCell ref="F33:F33"/>
    <mergeCell ref="G33:G33"/>
    <mergeCell ref="H33:H33"/>
    <mergeCell ref="M33:M33"/>
    <mergeCell ref="N33:N33"/>
    <mergeCell ref="O33:O33"/>
    <mergeCell ref="P33:P33"/>
    <mergeCell ref="Q33:Q33"/>
    <mergeCell ref="R33:R33"/>
    <mergeCell ref="S33:S33"/>
    <mergeCell ref="X33:X33"/>
    <mergeCell ref="Y33:Y33"/>
    <mergeCell ref="Z33:Z33"/>
    <mergeCell ref="AA33:AA33"/>
    <mergeCell ref="AB33:AB33"/>
    <mergeCell ref="AC33:AC33"/>
    <mergeCell ref="AD33:AD33"/>
    <mergeCell ref="AE33:AE33"/>
    <mergeCell ref="AF33:AF33"/>
    <mergeCell ref="A34:A34"/>
    <mergeCell ref="B34:B34"/>
    <mergeCell ref="C34:C34"/>
    <mergeCell ref="F34:F34"/>
    <mergeCell ref="G34:G34"/>
    <mergeCell ref="H34:H34"/>
    <mergeCell ref="M34:M34"/>
    <mergeCell ref="N34:N34"/>
    <mergeCell ref="O34:O34"/>
    <mergeCell ref="P34:P34"/>
    <mergeCell ref="Q34:Q34"/>
    <mergeCell ref="R34:R34"/>
    <mergeCell ref="S34:S34"/>
    <mergeCell ref="X34:X34"/>
    <mergeCell ref="Y34:Y34"/>
    <mergeCell ref="Z34:Z34"/>
    <mergeCell ref="AA34:AA34"/>
    <mergeCell ref="AB34:AB34"/>
    <mergeCell ref="AC34:AC34"/>
    <mergeCell ref="AD34:AD34"/>
    <mergeCell ref="AE34:AE34"/>
    <mergeCell ref="AF34:AF34"/>
    <mergeCell ref="A35:A35"/>
    <mergeCell ref="B35:B35"/>
    <mergeCell ref="C35:C35"/>
    <mergeCell ref="F35:F35"/>
    <mergeCell ref="G35:G35"/>
    <mergeCell ref="H35:H35"/>
    <mergeCell ref="M35:M35"/>
    <mergeCell ref="N35:N35"/>
    <mergeCell ref="O35:O35"/>
    <mergeCell ref="P35:P35"/>
    <mergeCell ref="Q35:Q35"/>
    <mergeCell ref="R35:R35"/>
    <mergeCell ref="S35:S35"/>
    <mergeCell ref="X35:X35"/>
    <mergeCell ref="Y35:Y35"/>
    <mergeCell ref="Z35:Z35"/>
    <mergeCell ref="AA35:AA35"/>
    <mergeCell ref="AB35:AB35"/>
    <mergeCell ref="AC35:AC35"/>
    <mergeCell ref="AD35:AD35"/>
    <mergeCell ref="AE35:AE35"/>
    <mergeCell ref="AF35:AF35"/>
    <mergeCell ref="A36:A36"/>
    <mergeCell ref="B36:B36"/>
    <mergeCell ref="C36:C36"/>
    <mergeCell ref="F36:F36"/>
    <mergeCell ref="G36:G36"/>
    <mergeCell ref="H36:H36"/>
    <mergeCell ref="M36:M36"/>
    <mergeCell ref="N36:N36"/>
    <mergeCell ref="O36:O36"/>
    <mergeCell ref="P36:P36"/>
    <mergeCell ref="Q36:Q36"/>
    <mergeCell ref="R36:R36"/>
    <mergeCell ref="S36:S36"/>
    <mergeCell ref="X36:X36"/>
    <mergeCell ref="Y36:Y36"/>
    <mergeCell ref="Z36:Z36"/>
    <mergeCell ref="AA36:AA36"/>
    <mergeCell ref="AB36:AB36"/>
    <mergeCell ref="AC36:AC36"/>
    <mergeCell ref="AD36:AD36"/>
    <mergeCell ref="AE36:AE36"/>
    <mergeCell ref="AF36:AF36"/>
    <mergeCell ref="A37:A37"/>
    <mergeCell ref="B37:B37"/>
    <mergeCell ref="C37:C37"/>
    <mergeCell ref="F37:F37"/>
    <mergeCell ref="G37:G37"/>
    <mergeCell ref="H37:H37"/>
    <mergeCell ref="M37:M37"/>
    <mergeCell ref="N37:N37"/>
    <mergeCell ref="O37:O37"/>
    <mergeCell ref="P37:P37"/>
    <mergeCell ref="Q37:Q37"/>
    <mergeCell ref="R37:R37"/>
    <mergeCell ref="S37:S37"/>
    <mergeCell ref="X37:X37"/>
    <mergeCell ref="Y37:Y37"/>
    <mergeCell ref="Z37:Z37"/>
    <mergeCell ref="AA37:AA37"/>
    <mergeCell ref="AB37:AB37"/>
    <mergeCell ref="AC37:AC37"/>
    <mergeCell ref="AD37:AD37"/>
    <mergeCell ref="AE37:AE37"/>
    <mergeCell ref="AF37:AF37"/>
    <mergeCell ref="A38:A38"/>
    <mergeCell ref="B38:B38"/>
    <mergeCell ref="C38:C38"/>
    <mergeCell ref="F38:F38"/>
    <mergeCell ref="G38:G38"/>
    <mergeCell ref="H38:H38"/>
    <mergeCell ref="M38:M38"/>
    <mergeCell ref="N38:N38"/>
    <mergeCell ref="O38:O38"/>
    <mergeCell ref="P38:P38"/>
    <mergeCell ref="Q38:Q38"/>
    <mergeCell ref="R38:R38"/>
    <mergeCell ref="S38:S38"/>
    <mergeCell ref="X38:X38"/>
    <mergeCell ref="Y38:Y38"/>
    <mergeCell ref="Z38:Z38"/>
    <mergeCell ref="AA38:AA38"/>
    <mergeCell ref="AB38:AB38"/>
    <mergeCell ref="AC38:AC38"/>
    <mergeCell ref="AD38:AD38"/>
    <mergeCell ref="AE38:AE38"/>
    <mergeCell ref="AF38:AF38"/>
    <mergeCell ref="A39:A39"/>
    <mergeCell ref="B39:B39"/>
    <mergeCell ref="C39:C39"/>
    <mergeCell ref="F39:F39"/>
    <mergeCell ref="G39:G39"/>
    <mergeCell ref="H39:H39"/>
    <mergeCell ref="M39:M39"/>
    <mergeCell ref="N39:N39"/>
    <mergeCell ref="O39:O39"/>
    <mergeCell ref="P39:P39"/>
    <mergeCell ref="Q39:Q39"/>
    <mergeCell ref="R39:R39"/>
    <mergeCell ref="S39:S39"/>
    <mergeCell ref="X39:X39"/>
    <mergeCell ref="Y39:Y39"/>
    <mergeCell ref="Z39:Z39"/>
    <mergeCell ref="AA39:AA39"/>
    <mergeCell ref="AB39:AB39"/>
    <mergeCell ref="AC39:AC39"/>
    <mergeCell ref="AD39:AD39"/>
    <mergeCell ref="AE39:AE39"/>
    <mergeCell ref="AF39:AF39"/>
    <mergeCell ref="A40:A40"/>
    <mergeCell ref="B40:B40"/>
    <mergeCell ref="C40:C40"/>
    <mergeCell ref="F40:F40"/>
    <mergeCell ref="G40:G40"/>
    <mergeCell ref="H40:H40"/>
    <mergeCell ref="M40:M40"/>
    <mergeCell ref="N40:N40"/>
    <mergeCell ref="O40:O40"/>
    <mergeCell ref="P40:P40"/>
    <mergeCell ref="Q40:Q40"/>
    <mergeCell ref="R40:R40"/>
    <mergeCell ref="S40:S40"/>
    <mergeCell ref="X40:X40"/>
    <mergeCell ref="Y40:Y40"/>
    <mergeCell ref="Z40:Z40"/>
    <mergeCell ref="AA40:AA40"/>
    <mergeCell ref="AB40:AB40"/>
    <mergeCell ref="AC40:AC40"/>
    <mergeCell ref="AD40:AD40"/>
    <mergeCell ref="AE40:AE40"/>
    <mergeCell ref="AF40:AF40"/>
    <mergeCell ref="A41:A41"/>
    <mergeCell ref="B41:B41"/>
    <mergeCell ref="C41:C41"/>
    <mergeCell ref="F41:F41"/>
    <mergeCell ref="G41:G41"/>
    <mergeCell ref="H41:H41"/>
    <mergeCell ref="M41:M41"/>
    <mergeCell ref="N41:N41"/>
    <mergeCell ref="O41:O41"/>
    <mergeCell ref="P41:P41"/>
    <mergeCell ref="Q41:Q41"/>
    <mergeCell ref="R41:R41"/>
    <mergeCell ref="S41:S41"/>
    <mergeCell ref="X41:X41"/>
    <mergeCell ref="Y41:Y41"/>
    <mergeCell ref="Z41:Z41"/>
    <mergeCell ref="AA41:AA41"/>
    <mergeCell ref="AB41:AB41"/>
    <mergeCell ref="AC41:AC41"/>
    <mergeCell ref="AD41:AD41"/>
    <mergeCell ref="AE41:AE41"/>
    <mergeCell ref="AF41:AF41"/>
    <mergeCell ref="A42:A42"/>
    <mergeCell ref="B42:B42"/>
    <mergeCell ref="C42:C42"/>
    <mergeCell ref="F42:F42"/>
    <mergeCell ref="G42:G42"/>
    <mergeCell ref="H42:H42"/>
    <mergeCell ref="M42:M42"/>
    <mergeCell ref="N42:N42"/>
    <mergeCell ref="O42:O42"/>
    <mergeCell ref="P42:P42"/>
    <mergeCell ref="Q42:Q42"/>
    <mergeCell ref="R42:R42"/>
    <mergeCell ref="S42:S42"/>
    <mergeCell ref="X42:X42"/>
    <mergeCell ref="Y42:Y42"/>
    <mergeCell ref="Z42:Z42"/>
    <mergeCell ref="AA42:AA42"/>
    <mergeCell ref="AB42:AB42"/>
    <mergeCell ref="AC42:AC42"/>
    <mergeCell ref="AD42:AD42"/>
    <mergeCell ref="AE42:AE42"/>
    <mergeCell ref="AF42:AF42"/>
    <mergeCell ref="A43:A43"/>
    <mergeCell ref="B43:B43"/>
    <mergeCell ref="C43:C43"/>
    <mergeCell ref="F43:F43"/>
    <mergeCell ref="G43:G43"/>
    <mergeCell ref="H43:H43"/>
    <mergeCell ref="M43:M43"/>
    <mergeCell ref="N43:N43"/>
    <mergeCell ref="O43:O43"/>
    <mergeCell ref="P43:P43"/>
    <mergeCell ref="Q43:Q43"/>
    <mergeCell ref="R43:R43"/>
    <mergeCell ref="S43:S43"/>
    <mergeCell ref="X43:X43"/>
    <mergeCell ref="Y43:Y43"/>
    <mergeCell ref="Z43:Z43"/>
    <mergeCell ref="AA43:AA43"/>
    <mergeCell ref="AB43:AB43"/>
    <mergeCell ref="AC43:AC43"/>
    <mergeCell ref="AD43:AD43"/>
    <mergeCell ref="AE43:AE43"/>
    <mergeCell ref="AF43:AF43"/>
    <mergeCell ref="A44:A44"/>
    <mergeCell ref="B44:B44"/>
    <mergeCell ref="C44:C44"/>
    <mergeCell ref="F44:F44"/>
    <mergeCell ref="G44:G44"/>
    <mergeCell ref="H44:H44"/>
    <mergeCell ref="M44:M44"/>
    <mergeCell ref="N44:N44"/>
    <mergeCell ref="O44:O44"/>
    <mergeCell ref="P44:P44"/>
    <mergeCell ref="Q44:Q44"/>
    <mergeCell ref="R44:R44"/>
    <mergeCell ref="S44:S44"/>
    <mergeCell ref="X44:X44"/>
    <mergeCell ref="Y44:Y44"/>
    <mergeCell ref="Z44:Z44"/>
    <mergeCell ref="AA44:AA44"/>
    <mergeCell ref="AB44:AB44"/>
    <mergeCell ref="AC44:AC44"/>
    <mergeCell ref="AD44:AD44"/>
    <mergeCell ref="AE44:AE44"/>
    <mergeCell ref="AF44:AF44"/>
    <mergeCell ref="A45:A45"/>
    <mergeCell ref="B45:B45"/>
    <mergeCell ref="C45:C45"/>
    <mergeCell ref="F45:F45"/>
    <mergeCell ref="G45:G45"/>
    <mergeCell ref="H45:H45"/>
    <mergeCell ref="M45:M45"/>
    <mergeCell ref="N45:N45"/>
    <mergeCell ref="O45:O45"/>
    <mergeCell ref="P45:P45"/>
    <mergeCell ref="Q45:Q45"/>
    <mergeCell ref="R45:R45"/>
    <mergeCell ref="S45:S45"/>
    <mergeCell ref="X45:X45"/>
    <mergeCell ref="Y45:Y45"/>
    <mergeCell ref="Z45:Z45"/>
    <mergeCell ref="AA45:AA45"/>
    <mergeCell ref="AB45:AB45"/>
    <mergeCell ref="AC45:AC45"/>
    <mergeCell ref="AD45:AD45"/>
    <mergeCell ref="AE45:AE45"/>
    <mergeCell ref="AF45:AF45"/>
    <mergeCell ref="A46:A46"/>
    <mergeCell ref="B46:B46"/>
    <mergeCell ref="C46:C46"/>
    <mergeCell ref="F46:F46"/>
    <mergeCell ref="G46:G46"/>
    <mergeCell ref="H46:H46"/>
    <mergeCell ref="M46:M46"/>
    <mergeCell ref="N46:N46"/>
    <mergeCell ref="O46:O46"/>
    <mergeCell ref="P46:P46"/>
    <mergeCell ref="Q46:Q46"/>
    <mergeCell ref="R46:R46"/>
    <mergeCell ref="S46:S46"/>
    <mergeCell ref="X46:X46"/>
    <mergeCell ref="Y46:Y46"/>
    <mergeCell ref="Z46:Z46"/>
    <mergeCell ref="AA46:AA46"/>
    <mergeCell ref="AB46:AB46"/>
    <mergeCell ref="AC46:AC46"/>
    <mergeCell ref="AD46:AD46"/>
    <mergeCell ref="AE46:AE46"/>
    <mergeCell ref="AF46:AF46"/>
    <mergeCell ref="A47:A47"/>
    <mergeCell ref="B47:B47"/>
    <mergeCell ref="C47:C47"/>
    <mergeCell ref="F47:F47"/>
    <mergeCell ref="G47:G47"/>
    <mergeCell ref="H47:H47"/>
    <mergeCell ref="M47:M47"/>
    <mergeCell ref="N47:N47"/>
    <mergeCell ref="O47:O47"/>
    <mergeCell ref="P47:P47"/>
    <mergeCell ref="Q47:Q47"/>
    <mergeCell ref="R47:R47"/>
    <mergeCell ref="S47:S47"/>
    <mergeCell ref="X47:X47"/>
    <mergeCell ref="Y47:Y47"/>
    <mergeCell ref="Z47:Z47"/>
    <mergeCell ref="AA47:AA47"/>
    <mergeCell ref="AB47:AB47"/>
    <mergeCell ref="AC47:AC47"/>
    <mergeCell ref="AD47:AD47"/>
    <mergeCell ref="AE47:AE47"/>
    <mergeCell ref="AF47:AF47"/>
    <mergeCell ref="A48:A48"/>
    <mergeCell ref="B48:B48"/>
    <mergeCell ref="C48:C48"/>
    <mergeCell ref="F48:F48"/>
    <mergeCell ref="G48:G48"/>
    <mergeCell ref="H48:H48"/>
    <mergeCell ref="M48:M48"/>
    <mergeCell ref="N48:N48"/>
    <mergeCell ref="O48:O48"/>
    <mergeCell ref="P48:P48"/>
    <mergeCell ref="Q48:Q48"/>
    <mergeCell ref="R48:R48"/>
    <mergeCell ref="S48:S48"/>
    <mergeCell ref="X48:X48"/>
    <mergeCell ref="Y48:Y48"/>
    <mergeCell ref="Z48:Z48"/>
    <mergeCell ref="AA48:AA48"/>
    <mergeCell ref="AB48:AB48"/>
    <mergeCell ref="AC48:AC48"/>
    <mergeCell ref="AD48:AD48"/>
    <mergeCell ref="AE48:AE48"/>
    <mergeCell ref="AF48:AF48"/>
    <mergeCell ref="A49:A49"/>
    <mergeCell ref="B49:B49"/>
    <mergeCell ref="C49:C49"/>
    <mergeCell ref="F49:F49"/>
    <mergeCell ref="G49:G49"/>
    <mergeCell ref="H49:H49"/>
    <mergeCell ref="M49:M49"/>
    <mergeCell ref="N49:N49"/>
    <mergeCell ref="O49:O49"/>
    <mergeCell ref="P49:P49"/>
    <mergeCell ref="Q49:Q49"/>
    <mergeCell ref="R49:R49"/>
    <mergeCell ref="S49:S49"/>
    <mergeCell ref="X49:X49"/>
    <mergeCell ref="Y49:Y49"/>
    <mergeCell ref="Z49:Z49"/>
    <mergeCell ref="AA49:AA49"/>
    <mergeCell ref="AB49:AB49"/>
    <mergeCell ref="AC49:AC49"/>
    <mergeCell ref="AD49:AD49"/>
    <mergeCell ref="AE49:AE49"/>
    <mergeCell ref="AF49:AF49"/>
    <mergeCell ref="A50:A50"/>
    <mergeCell ref="B50:B50"/>
    <mergeCell ref="C50:C50"/>
    <mergeCell ref="F50:F50"/>
    <mergeCell ref="G50:G50"/>
    <mergeCell ref="H50:H50"/>
    <mergeCell ref="M50:M50"/>
    <mergeCell ref="N50:N50"/>
    <mergeCell ref="O50:O50"/>
    <mergeCell ref="P50:P50"/>
    <mergeCell ref="Q50:Q50"/>
    <mergeCell ref="R50:R50"/>
    <mergeCell ref="S50:S50"/>
    <mergeCell ref="X50:X50"/>
    <mergeCell ref="Y50:Y50"/>
    <mergeCell ref="Z50:Z50"/>
    <mergeCell ref="AA50:AA50"/>
    <mergeCell ref="AB50:AB50"/>
    <mergeCell ref="AC50:AC50"/>
    <mergeCell ref="AD50:AD50"/>
    <mergeCell ref="AE50:AE50"/>
    <mergeCell ref="AF50:AF50"/>
    <mergeCell ref="A51:A51"/>
    <mergeCell ref="B51:B51"/>
    <mergeCell ref="C51:C51"/>
    <mergeCell ref="F51:F51"/>
    <mergeCell ref="G51:G51"/>
    <mergeCell ref="H51:H51"/>
    <mergeCell ref="M51:M51"/>
    <mergeCell ref="N51:N51"/>
    <mergeCell ref="O51:O51"/>
    <mergeCell ref="P51:P51"/>
    <mergeCell ref="Q51:Q51"/>
    <mergeCell ref="R51:R51"/>
    <mergeCell ref="S51:S51"/>
    <mergeCell ref="X51:X51"/>
    <mergeCell ref="Y51:Y51"/>
    <mergeCell ref="Z51:Z51"/>
    <mergeCell ref="AA51:AA51"/>
    <mergeCell ref="AB51:AB51"/>
    <mergeCell ref="AC51:AC51"/>
    <mergeCell ref="AD51:AD51"/>
    <mergeCell ref="AE51:AE51"/>
    <mergeCell ref="AF51:AF51"/>
    <mergeCell ref="A52:A52"/>
    <mergeCell ref="B52:B52"/>
    <mergeCell ref="C52:C52"/>
    <mergeCell ref="F52:F52"/>
    <mergeCell ref="G52:G52"/>
    <mergeCell ref="H52:H52"/>
    <mergeCell ref="M52:M52"/>
    <mergeCell ref="N52:N52"/>
    <mergeCell ref="O52:O52"/>
    <mergeCell ref="P52:P52"/>
    <mergeCell ref="Q52:Q52"/>
    <mergeCell ref="R52:R52"/>
    <mergeCell ref="S52:S52"/>
    <mergeCell ref="X52:X52"/>
    <mergeCell ref="Y52:Y52"/>
    <mergeCell ref="Z52:Z52"/>
    <mergeCell ref="AA52:AA52"/>
    <mergeCell ref="AB52:AB52"/>
    <mergeCell ref="AC52:AC52"/>
    <mergeCell ref="AD52:AD52"/>
    <mergeCell ref="AE52:AE52"/>
    <mergeCell ref="AF52:AF52"/>
    <mergeCell ref="A53:A53"/>
    <mergeCell ref="B53:B53"/>
    <mergeCell ref="C53:C53"/>
    <mergeCell ref="F53:F53"/>
    <mergeCell ref="G53:G53"/>
    <mergeCell ref="H53:H53"/>
    <mergeCell ref="M53:M53"/>
    <mergeCell ref="N53:N53"/>
    <mergeCell ref="O53:O53"/>
    <mergeCell ref="P53:P53"/>
    <mergeCell ref="Q53:Q53"/>
    <mergeCell ref="R53:R53"/>
    <mergeCell ref="S53:S53"/>
    <mergeCell ref="X53:X53"/>
    <mergeCell ref="Y53:Y53"/>
    <mergeCell ref="Z53:Z53"/>
    <mergeCell ref="AA53:AA53"/>
    <mergeCell ref="AB53:AB53"/>
    <mergeCell ref="AC53:AC53"/>
    <mergeCell ref="AD53:AD53"/>
    <mergeCell ref="AE53:AE53"/>
    <mergeCell ref="AF53:AF53"/>
    <mergeCell ref="A54:A54"/>
    <mergeCell ref="B54:B54"/>
    <mergeCell ref="C54:C54"/>
    <mergeCell ref="F54:F54"/>
    <mergeCell ref="G54:G54"/>
    <mergeCell ref="H54:H54"/>
    <mergeCell ref="M54:M54"/>
    <mergeCell ref="N54:N54"/>
    <mergeCell ref="O54:O54"/>
    <mergeCell ref="P54:P54"/>
    <mergeCell ref="Q54:Q54"/>
    <mergeCell ref="R54:R54"/>
    <mergeCell ref="S54:S54"/>
    <mergeCell ref="X54:X54"/>
    <mergeCell ref="Y54:Y54"/>
    <mergeCell ref="Z54:Z54"/>
    <mergeCell ref="AA54:AA54"/>
    <mergeCell ref="AB54:AB54"/>
    <mergeCell ref="AC54:AC54"/>
    <mergeCell ref="AD54:AD54"/>
    <mergeCell ref="AE54:AE54"/>
    <mergeCell ref="AF54:AF54"/>
    <mergeCell ref="A55:A55"/>
    <mergeCell ref="B55:B55"/>
    <mergeCell ref="C55:C55"/>
    <mergeCell ref="F55:F55"/>
    <mergeCell ref="G55:G55"/>
    <mergeCell ref="H55:H55"/>
    <mergeCell ref="M55:M55"/>
    <mergeCell ref="N55:N55"/>
    <mergeCell ref="O55:O55"/>
    <mergeCell ref="P55:P55"/>
    <mergeCell ref="Q55:Q55"/>
    <mergeCell ref="R55:R55"/>
    <mergeCell ref="S55:S55"/>
    <mergeCell ref="X55:X55"/>
    <mergeCell ref="Y55:Y55"/>
    <mergeCell ref="Z55:Z55"/>
    <mergeCell ref="AA55:AA55"/>
    <mergeCell ref="AB55:AB55"/>
    <mergeCell ref="AC55:AC55"/>
    <mergeCell ref="AD55:AD55"/>
    <mergeCell ref="AE55:AE55"/>
    <mergeCell ref="AF55:AF55"/>
    <mergeCell ref="A56:A56"/>
    <mergeCell ref="B56:B56"/>
    <mergeCell ref="C56:C56"/>
    <mergeCell ref="F56:F56"/>
    <mergeCell ref="G56:G56"/>
    <mergeCell ref="H56:H56"/>
    <mergeCell ref="M56:M56"/>
    <mergeCell ref="N56:N56"/>
    <mergeCell ref="O56:O56"/>
    <mergeCell ref="P56:P56"/>
    <mergeCell ref="Q56:Q56"/>
    <mergeCell ref="R56:R56"/>
    <mergeCell ref="S56:S56"/>
    <mergeCell ref="X56:X56"/>
    <mergeCell ref="Y56:Y56"/>
    <mergeCell ref="Z56:Z56"/>
    <mergeCell ref="AA56:AA56"/>
    <mergeCell ref="AB56:AB56"/>
    <mergeCell ref="AC56:AC56"/>
    <mergeCell ref="AD56:AD56"/>
    <mergeCell ref="AE56:AE56"/>
    <mergeCell ref="AF56:AF56"/>
    <mergeCell ref="A57:A57"/>
    <mergeCell ref="B57:B57"/>
    <mergeCell ref="C57:C57"/>
    <mergeCell ref="F57:F57"/>
    <mergeCell ref="G57:G57"/>
    <mergeCell ref="H57:H57"/>
    <mergeCell ref="M57:M57"/>
    <mergeCell ref="N57:N57"/>
    <mergeCell ref="O57:O57"/>
    <mergeCell ref="P57:P57"/>
    <mergeCell ref="Q57:Q57"/>
    <mergeCell ref="R57:R57"/>
    <mergeCell ref="S57:S57"/>
    <mergeCell ref="X57:X57"/>
    <mergeCell ref="Y57:Y57"/>
    <mergeCell ref="Z57:Z57"/>
    <mergeCell ref="AA57:AA57"/>
    <mergeCell ref="AB57:AB57"/>
    <mergeCell ref="AC57:AC57"/>
    <mergeCell ref="AD57:AD57"/>
    <mergeCell ref="AE57:AE57"/>
    <mergeCell ref="AF57:AF57"/>
    <mergeCell ref="A58:A58"/>
    <mergeCell ref="B58:B58"/>
    <mergeCell ref="C58:C58"/>
    <mergeCell ref="F58:F58"/>
    <mergeCell ref="G58:G58"/>
    <mergeCell ref="H58:H58"/>
    <mergeCell ref="M58:M58"/>
    <mergeCell ref="N58:N58"/>
    <mergeCell ref="O58:O58"/>
    <mergeCell ref="P58:P58"/>
    <mergeCell ref="Q58:Q58"/>
    <mergeCell ref="R58:R58"/>
    <mergeCell ref="S58:S58"/>
    <mergeCell ref="X58:X58"/>
    <mergeCell ref="Y58:Y58"/>
    <mergeCell ref="Z58:Z58"/>
    <mergeCell ref="AA58:AA58"/>
    <mergeCell ref="AB58:AB58"/>
    <mergeCell ref="AC58:AC58"/>
    <mergeCell ref="AD58:AD58"/>
    <mergeCell ref="AE58:AE58"/>
    <mergeCell ref="AF58:AF58"/>
    <mergeCell ref="A59:A60"/>
    <mergeCell ref="B59:B60"/>
    <mergeCell ref="C59:C60"/>
    <mergeCell ref="F59:F60"/>
    <mergeCell ref="G59:G60"/>
    <mergeCell ref="H59:H60"/>
    <mergeCell ref="M59:M60"/>
    <mergeCell ref="N59:N60"/>
    <mergeCell ref="O59:O60"/>
    <mergeCell ref="P59:P60"/>
    <mergeCell ref="Q59:Q60"/>
    <mergeCell ref="R59:R60"/>
    <mergeCell ref="S59:S60"/>
    <mergeCell ref="X59:X60"/>
    <mergeCell ref="Y59:Y60"/>
    <mergeCell ref="Z59:Z60"/>
    <mergeCell ref="AA59:AA60"/>
    <mergeCell ref="AB59:AB60"/>
    <mergeCell ref="AC59:AC60"/>
    <mergeCell ref="AD59:AD60"/>
    <mergeCell ref="AE59:AE60"/>
    <mergeCell ref="AF59:AF60"/>
    <mergeCell ref="A61:A61"/>
    <mergeCell ref="B61:B61"/>
    <mergeCell ref="C61:C61"/>
    <mergeCell ref="F61:F61"/>
    <mergeCell ref="G61:G61"/>
    <mergeCell ref="H61:H61"/>
    <mergeCell ref="M61:M61"/>
    <mergeCell ref="N61:N61"/>
    <mergeCell ref="O61:O61"/>
    <mergeCell ref="P61:P61"/>
    <mergeCell ref="Q61:Q61"/>
    <mergeCell ref="R61:R61"/>
    <mergeCell ref="S61:S61"/>
    <mergeCell ref="X61:X61"/>
    <mergeCell ref="Y61:Y61"/>
    <mergeCell ref="Z61:Z61"/>
    <mergeCell ref="AA61:AA61"/>
    <mergeCell ref="AB61:AB61"/>
    <mergeCell ref="AC61:AC61"/>
    <mergeCell ref="AD61:AD61"/>
    <mergeCell ref="AE61:AE61"/>
    <mergeCell ref="AF61:AF61"/>
    <mergeCell ref="A62:A62"/>
    <mergeCell ref="B62:B62"/>
    <mergeCell ref="C62:C62"/>
    <mergeCell ref="F62:F62"/>
    <mergeCell ref="G62:G62"/>
    <mergeCell ref="H62:H62"/>
    <mergeCell ref="M62:M62"/>
    <mergeCell ref="N62:N62"/>
    <mergeCell ref="O62:O62"/>
    <mergeCell ref="P62:P62"/>
    <mergeCell ref="Q62:Q62"/>
    <mergeCell ref="R62:R62"/>
    <mergeCell ref="S62:S62"/>
    <mergeCell ref="X62:X62"/>
    <mergeCell ref="Y62:Y62"/>
    <mergeCell ref="Z62:Z62"/>
    <mergeCell ref="AA62:AA62"/>
    <mergeCell ref="AB62:AB62"/>
    <mergeCell ref="AC62:AC62"/>
    <mergeCell ref="AD62:AD62"/>
    <mergeCell ref="AE62:AE62"/>
    <mergeCell ref="AF62:AF62"/>
    <mergeCell ref="A63:A63"/>
    <mergeCell ref="B63:B63"/>
    <mergeCell ref="C63:C63"/>
    <mergeCell ref="F63:F63"/>
    <mergeCell ref="G63:G63"/>
    <mergeCell ref="H63:H63"/>
    <mergeCell ref="M63:M63"/>
    <mergeCell ref="N63:N63"/>
    <mergeCell ref="O63:O63"/>
    <mergeCell ref="P63:P63"/>
    <mergeCell ref="Q63:Q63"/>
    <mergeCell ref="R63:R63"/>
    <mergeCell ref="S63:S63"/>
    <mergeCell ref="X63:X63"/>
    <mergeCell ref="Y63:Y63"/>
    <mergeCell ref="Z63:Z63"/>
    <mergeCell ref="AA63:AA63"/>
    <mergeCell ref="AB63:AB63"/>
    <mergeCell ref="AC63:AC63"/>
    <mergeCell ref="AD63:AD63"/>
    <mergeCell ref="AE63:AE63"/>
    <mergeCell ref="AF63:AF63"/>
    <mergeCell ref="A64:A64"/>
    <mergeCell ref="B64:B64"/>
    <mergeCell ref="C64:C64"/>
    <mergeCell ref="F64:F64"/>
    <mergeCell ref="G64:G64"/>
    <mergeCell ref="H64:H64"/>
    <mergeCell ref="M64:M64"/>
    <mergeCell ref="N64:N64"/>
    <mergeCell ref="O64:O64"/>
    <mergeCell ref="P64:P64"/>
    <mergeCell ref="Q64:Q64"/>
    <mergeCell ref="R64:R64"/>
    <mergeCell ref="S64:S64"/>
    <mergeCell ref="X64:X64"/>
    <mergeCell ref="Y64:Y64"/>
    <mergeCell ref="Z64:Z64"/>
    <mergeCell ref="AA64:AA64"/>
    <mergeCell ref="AB64:AB64"/>
    <mergeCell ref="AC64:AC64"/>
    <mergeCell ref="AD64:AD64"/>
    <mergeCell ref="AE64:AE64"/>
    <mergeCell ref="AF64:AF64"/>
    <mergeCell ref="A65:A65"/>
    <mergeCell ref="B65:B65"/>
    <mergeCell ref="C65:C65"/>
    <mergeCell ref="F65:F65"/>
    <mergeCell ref="G65:G65"/>
    <mergeCell ref="H65:H65"/>
    <mergeCell ref="M65:M65"/>
    <mergeCell ref="N65:N65"/>
    <mergeCell ref="O65:O65"/>
    <mergeCell ref="P65:P65"/>
    <mergeCell ref="Q65:Q65"/>
    <mergeCell ref="R65:R65"/>
    <mergeCell ref="S65:S65"/>
    <mergeCell ref="X65:X65"/>
    <mergeCell ref="Y65:Y65"/>
    <mergeCell ref="Z65:Z65"/>
    <mergeCell ref="AA65:AA65"/>
    <mergeCell ref="AB65:AB65"/>
    <mergeCell ref="AC65:AC65"/>
    <mergeCell ref="AD65:AD65"/>
    <mergeCell ref="AE65:AE65"/>
    <mergeCell ref="AF65:AF65"/>
    <mergeCell ref="A66:A66"/>
    <mergeCell ref="B66:B66"/>
    <mergeCell ref="C66:C66"/>
    <mergeCell ref="F66:F66"/>
    <mergeCell ref="G66:G66"/>
    <mergeCell ref="H66:H66"/>
    <mergeCell ref="M66:M66"/>
    <mergeCell ref="N66:N66"/>
    <mergeCell ref="O66:O66"/>
    <mergeCell ref="P66:P66"/>
    <mergeCell ref="Q66:Q66"/>
    <mergeCell ref="R66:R66"/>
    <mergeCell ref="S66:S66"/>
    <mergeCell ref="X66:X66"/>
    <mergeCell ref="Y66:Y66"/>
    <mergeCell ref="Z66:Z66"/>
    <mergeCell ref="AA66:AA66"/>
    <mergeCell ref="AB66:AB66"/>
    <mergeCell ref="AC66:AC66"/>
    <mergeCell ref="AD66:AD66"/>
    <mergeCell ref="AE66:AE66"/>
    <mergeCell ref="AF66:AF66"/>
    <mergeCell ref="A67:A67"/>
    <mergeCell ref="B67:B67"/>
    <mergeCell ref="C67:C67"/>
    <mergeCell ref="F67:F67"/>
    <mergeCell ref="G67:G67"/>
    <mergeCell ref="H67:H67"/>
    <mergeCell ref="M67:M67"/>
    <mergeCell ref="N67:N67"/>
    <mergeCell ref="O67:O67"/>
    <mergeCell ref="P67:P67"/>
    <mergeCell ref="Q67:Q67"/>
    <mergeCell ref="R67:R67"/>
    <mergeCell ref="S67:S67"/>
    <mergeCell ref="X67:X67"/>
    <mergeCell ref="Y67:Y67"/>
    <mergeCell ref="Z67:Z67"/>
    <mergeCell ref="AA67:AA67"/>
    <mergeCell ref="AB67:AB67"/>
    <mergeCell ref="AC67:AC67"/>
    <mergeCell ref="AD67:AD67"/>
    <mergeCell ref="AE67:AE67"/>
    <mergeCell ref="AF67:AF67"/>
    <mergeCell ref="A68:A68"/>
    <mergeCell ref="B68:B68"/>
    <mergeCell ref="C68:C68"/>
    <mergeCell ref="F68:F68"/>
    <mergeCell ref="G68:G68"/>
    <mergeCell ref="H68:H68"/>
    <mergeCell ref="M68:M68"/>
    <mergeCell ref="N68:N68"/>
    <mergeCell ref="O68:O68"/>
    <mergeCell ref="P68:P68"/>
    <mergeCell ref="Q68:Q68"/>
    <mergeCell ref="R68:R68"/>
    <mergeCell ref="S68:S68"/>
    <mergeCell ref="X68:X68"/>
    <mergeCell ref="Y68:Y68"/>
    <mergeCell ref="Z68:Z68"/>
    <mergeCell ref="AA68:AA68"/>
    <mergeCell ref="AB68:AB68"/>
    <mergeCell ref="AC68:AC68"/>
    <mergeCell ref="AD68:AD68"/>
    <mergeCell ref="AE68:AE68"/>
    <mergeCell ref="AF68:AF68"/>
    <mergeCell ref="A69:A69"/>
    <mergeCell ref="B69:B69"/>
    <mergeCell ref="C69:C69"/>
    <mergeCell ref="F69:F69"/>
    <mergeCell ref="G69:G69"/>
    <mergeCell ref="H69:H69"/>
    <mergeCell ref="M69:M69"/>
    <mergeCell ref="N69:N69"/>
    <mergeCell ref="O69:O69"/>
    <mergeCell ref="P69:P69"/>
    <mergeCell ref="Q69:Q69"/>
    <mergeCell ref="R69:R69"/>
    <mergeCell ref="S69:S69"/>
    <mergeCell ref="X69:X69"/>
    <mergeCell ref="Y69:Y69"/>
    <mergeCell ref="Z69:Z69"/>
    <mergeCell ref="AA69:AA69"/>
    <mergeCell ref="AB69:AB69"/>
    <mergeCell ref="AC69:AC69"/>
    <mergeCell ref="AD69:AD69"/>
    <mergeCell ref="AE69:AE69"/>
    <mergeCell ref="AF69:AF69"/>
    <mergeCell ref="A70:A70"/>
    <mergeCell ref="B70:B70"/>
    <mergeCell ref="C70:C70"/>
    <mergeCell ref="F70:F70"/>
    <mergeCell ref="G70:G70"/>
    <mergeCell ref="H70:H70"/>
    <mergeCell ref="M70:M70"/>
    <mergeCell ref="N70:N70"/>
    <mergeCell ref="O70:O70"/>
    <mergeCell ref="P70:P70"/>
    <mergeCell ref="Q70:Q70"/>
    <mergeCell ref="R70:R70"/>
    <mergeCell ref="S70:S70"/>
    <mergeCell ref="X70:X70"/>
    <mergeCell ref="Y70:Y70"/>
    <mergeCell ref="Z70:Z70"/>
    <mergeCell ref="AA70:AA70"/>
    <mergeCell ref="AB70:AB70"/>
    <mergeCell ref="AC70:AC70"/>
    <mergeCell ref="AD70:AD70"/>
    <mergeCell ref="AE70:AE70"/>
    <mergeCell ref="AF70:AF70"/>
    <mergeCell ref="A71:A71"/>
    <mergeCell ref="B71:B71"/>
    <mergeCell ref="C71:C71"/>
    <mergeCell ref="F71:F71"/>
    <mergeCell ref="G71:G71"/>
    <mergeCell ref="H71:H71"/>
    <mergeCell ref="M71:M71"/>
    <mergeCell ref="N71:N71"/>
    <mergeCell ref="O71:O71"/>
    <mergeCell ref="P71:P71"/>
    <mergeCell ref="Q71:Q71"/>
    <mergeCell ref="R71:R71"/>
    <mergeCell ref="S71:S71"/>
    <mergeCell ref="X71:X71"/>
    <mergeCell ref="Y71:Y71"/>
    <mergeCell ref="Z71:Z71"/>
    <mergeCell ref="AA71:AA71"/>
    <mergeCell ref="AB71:AB71"/>
    <mergeCell ref="AC71:AC71"/>
    <mergeCell ref="AD71:AD71"/>
    <mergeCell ref="AE71:AE71"/>
    <mergeCell ref="AF71:AF71"/>
    <mergeCell ref="A72:A72"/>
    <mergeCell ref="B72:B72"/>
    <mergeCell ref="C72:C72"/>
    <mergeCell ref="F72:F72"/>
    <mergeCell ref="G72:G72"/>
    <mergeCell ref="H72:H72"/>
    <mergeCell ref="M72:M72"/>
    <mergeCell ref="N72:N72"/>
    <mergeCell ref="O72:O72"/>
    <mergeCell ref="P72:P72"/>
    <mergeCell ref="Q72:Q72"/>
    <mergeCell ref="R72:R72"/>
    <mergeCell ref="S72:S72"/>
    <mergeCell ref="X72:X72"/>
    <mergeCell ref="Y72:Y72"/>
    <mergeCell ref="Z72:Z72"/>
    <mergeCell ref="AA72:AA72"/>
    <mergeCell ref="AB72:AB72"/>
    <mergeCell ref="AC72:AC72"/>
    <mergeCell ref="AD72:AD72"/>
    <mergeCell ref="AE72:AE72"/>
    <mergeCell ref="AF72:AF72"/>
    <mergeCell ref="A73:A73"/>
    <mergeCell ref="B73:B73"/>
    <mergeCell ref="C73:C73"/>
    <mergeCell ref="F73:F73"/>
    <mergeCell ref="G73:G73"/>
    <mergeCell ref="H73:H73"/>
    <mergeCell ref="M73:M73"/>
    <mergeCell ref="N73:N73"/>
    <mergeCell ref="O73:O73"/>
    <mergeCell ref="P73:P73"/>
    <mergeCell ref="Q73:Q73"/>
    <mergeCell ref="R73:R73"/>
    <mergeCell ref="S73:S73"/>
    <mergeCell ref="X73:X73"/>
    <mergeCell ref="Y73:Y73"/>
    <mergeCell ref="Z73:Z73"/>
    <mergeCell ref="AA73:AA73"/>
    <mergeCell ref="AB73:AB73"/>
    <mergeCell ref="AC73:AC73"/>
    <mergeCell ref="AD73:AD73"/>
    <mergeCell ref="AE73:AE73"/>
    <mergeCell ref="AF73:AF73"/>
    <mergeCell ref="A74:A74"/>
    <mergeCell ref="B74:B74"/>
    <mergeCell ref="C74:C74"/>
    <mergeCell ref="F74:F74"/>
    <mergeCell ref="G74:G74"/>
    <mergeCell ref="H74:H74"/>
    <mergeCell ref="M74:M74"/>
    <mergeCell ref="N74:N74"/>
    <mergeCell ref="O74:O74"/>
    <mergeCell ref="P74:P74"/>
    <mergeCell ref="Q74:Q74"/>
    <mergeCell ref="R74:R74"/>
    <mergeCell ref="S74:S74"/>
    <mergeCell ref="X74:X74"/>
    <mergeCell ref="Y74:Y74"/>
    <mergeCell ref="Z74:Z74"/>
    <mergeCell ref="AA74:AA74"/>
    <mergeCell ref="AB74:AB74"/>
    <mergeCell ref="AC74:AC74"/>
    <mergeCell ref="AD74:AD74"/>
    <mergeCell ref="AE74:AE74"/>
    <mergeCell ref="AF74:AF74"/>
    <mergeCell ref="A75:A75"/>
    <mergeCell ref="B75:B75"/>
    <mergeCell ref="C75:C75"/>
    <mergeCell ref="F75:F75"/>
    <mergeCell ref="G75:G75"/>
    <mergeCell ref="H75:H75"/>
    <mergeCell ref="M75:M75"/>
    <mergeCell ref="N75:N75"/>
    <mergeCell ref="O75:O75"/>
    <mergeCell ref="P75:P75"/>
    <mergeCell ref="Q75:Q75"/>
    <mergeCell ref="R75:R75"/>
    <mergeCell ref="S75:S75"/>
    <mergeCell ref="X75:X75"/>
    <mergeCell ref="Y75:Y75"/>
    <mergeCell ref="Z75:Z75"/>
    <mergeCell ref="AA75:AA75"/>
    <mergeCell ref="AB75:AB75"/>
    <mergeCell ref="AC75:AC75"/>
    <mergeCell ref="AD75:AD75"/>
    <mergeCell ref="AE75:AE75"/>
    <mergeCell ref="AF75:AF75"/>
    <mergeCell ref="A76:A76"/>
    <mergeCell ref="B76:B76"/>
    <mergeCell ref="C76:C76"/>
    <mergeCell ref="F76:F76"/>
    <mergeCell ref="G76:G76"/>
    <mergeCell ref="H76:H76"/>
    <mergeCell ref="M76:M76"/>
    <mergeCell ref="N76:N76"/>
    <mergeCell ref="O76:O76"/>
    <mergeCell ref="P76:P76"/>
    <mergeCell ref="Q76:Q76"/>
    <mergeCell ref="R76:R76"/>
    <mergeCell ref="S76:S76"/>
    <mergeCell ref="X76:X76"/>
    <mergeCell ref="Y76:Y76"/>
    <mergeCell ref="Z76:Z76"/>
    <mergeCell ref="AA76:AA76"/>
    <mergeCell ref="AB76:AB76"/>
    <mergeCell ref="AC76:AC76"/>
    <mergeCell ref="AD76:AD76"/>
    <mergeCell ref="AE76:AE76"/>
    <mergeCell ref="AF76:AF76"/>
    <mergeCell ref="A77:A77"/>
    <mergeCell ref="B77:B77"/>
    <mergeCell ref="C77:C77"/>
    <mergeCell ref="F77:F77"/>
    <mergeCell ref="G77:G77"/>
    <mergeCell ref="H77:H77"/>
    <mergeCell ref="M77:M77"/>
    <mergeCell ref="N77:N77"/>
    <mergeCell ref="O77:O77"/>
    <mergeCell ref="P77:P77"/>
    <mergeCell ref="Q77:Q77"/>
    <mergeCell ref="R77:R77"/>
    <mergeCell ref="S77:S77"/>
    <mergeCell ref="X77:X77"/>
    <mergeCell ref="Y77:Y77"/>
    <mergeCell ref="Z77:Z77"/>
    <mergeCell ref="AA77:AA77"/>
    <mergeCell ref="AB77:AB77"/>
    <mergeCell ref="AC77:AC77"/>
    <mergeCell ref="AD77:AD77"/>
    <mergeCell ref="AE77:AE77"/>
    <mergeCell ref="AF77:AF77"/>
    <mergeCell ref="A78:A78"/>
    <mergeCell ref="B78:B78"/>
    <mergeCell ref="C78:C78"/>
    <mergeCell ref="F78:F78"/>
    <mergeCell ref="G78:G78"/>
    <mergeCell ref="H78:H78"/>
    <mergeCell ref="M78:M78"/>
    <mergeCell ref="N78:N78"/>
    <mergeCell ref="O78:O78"/>
    <mergeCell ref="P78:P78"/>
    <mergeCell ref="Q78:Q78"/>
    <mergeCell ref="R78:R78"/>
    <mergeCell ref="S78:S78"/>
    <mergeCell ref="X78:X78"/>
    <mergeCell ref="Y78:Y78"/>
    <mergeCell ref="Z78:Z78"/>
    <mergeCell ref="AA78:AA78"/>
    <mergeCell ref="AB78:AB78"/>
    <mergeCell ref="AC78:AC78"/>
    <mergeCell ref="AD78:AD78"/>
    <mergeCell ref="AE78:AE78"/>
    <mergeCell ref="AF78:AF78"/>
    <mergeCell ref="A79:A79"/>
    <mergeCell ref="B79:B79"/>
    <mergeCell ref="C79:C79"/>
    <mergeCell ref="F79:F79"/>
    <mergeCell ref="G79:G79"/>
    <mergeCell ref="H79:H79"/>
    <mergeCell ref="M79:M79"/>
    <mergeCell ref="N79:N79"/>
    <mergeCell ref="O79:O79"/>
    <mergeCell ref="P79:P79"/>
    <mergeCell ref="Q79:Q79"/>
    <mergeCell ref="R79:R79"/>
    <mergeCell ref="S79:S79"/>
    <mergeCell ref="X79:X79"/>
    <mergeCell ref="Y79:Y79"/>
    <mergeCell ref="Z79:Z79"/>
    <mergeCell ref="AA79:AA79"/>
    <mergeCell ref="AB79:AB79"/>
    <mergeCell ref="AC79:AC79"/>
    <mergeCell ref="AD79:AD79"/>
    <mergeCell ref="AE79:AE79"/>
    <mergeCell ref="AF79:AF79"/>
    <mergeCell ref="A80:A80"/>
    <mergeCell ref="B80:B80"/>
    <mergeCell ref="C80:C80"/>
    <mergeCell ref="F80:F80"/>
    <mergeCell ref="G80:G80"/>
    <mergeCell ref="H80:H80"/>
    <mergeCell ref="M80:M80"/>
    <mergeCell ref="N80:N80"/>
    <mergeCell ref="O80:O80"/>
    <mergeCell ref="P80:P80"/>
    <mergeCell ref="Q80:Q80"/>
    <mergeCell ref="R80:R80"/>
    <mergeCell ref="S80:S80"/>
    <mergeCell ref="X80:X80"/>
    <mergeCell ref="Y80:Y80"/>
    <mergeCell ref="Z80:Z80"/>
    <mergeCell ref="AA80:AA80"/>
    <mergeCell ref="AB80:AB80"/>
    <mergeCell ref="AC80:AC80"/>
    <mergeCell ref="AD80:AD80"/>
    <mergeCell ref="AE80:AE80"/>
    <mergeCell ref="AF80:AF80"/>
    <mergeCell ref="A81:A81"/>
    <mergeCell ref="B81:B81"/>
    <mergeCell ref="C81:C81"/>
    <mergeCell ref="F81:F81"/>
    <mergeCell ref="G81:G81"/>
    <mergeCell ref="H81:H81"/>
    <mergeCell ref="M81:M81"/>
    <mergeCell ref="N81:N81"/>
    <mergeCell ref="O81:O81"/>
    <mergeCell ref="P81:P81"/>
    <mergeCell ref="Q81:Q81"/>
    <mergeCell ref="R81:R81"/>
    <mergeCell ref="S81:S81"/>
    <mergeCell ref="X81:X81"/>
    <mergeCell ref="Y81:Y81"/>
    <mergeCell ref="Z81:Z81"/>
    <mergeCell ref="AA81:AA81"/>
    <mergeCell ref="AB81:AB81"/>
    <mergeCell ref="AC81:AC81"/>
    <mergeCell ref="AD81:AD81"/>
    <mergeCell ref="AE81:AE81"/>
    <mergeCell ref="AF81:AF81"/>
    <mergeCell ref="A82:A82"/>
    <mergeCell ref="B82:B82"/>
    <mergeCell ref="C82:C82"/>
    <mergeCell ref="F82:F82"/>
    <mergeCell ref="G82:G82"/>
    <mergeCell ref="H82:H82"/>
    <mergeCell ref="M82:M82"/>
    <mergeCell ref="N82:N82"/>
    <mergeCell ref="O82:O82"/>
    <mergeCell ref="P82:P82"/>
    <mergeCell ref="Q82:Q82"/>
    <mergeCell ref="R82:R82"/>
    <mergeCell ref="S82:S82"/>
    <mergeCell ref="X82:X82"/>
    <mergeCell ref="Y82:Y82"/>
    <mergeCell ref="Z82:Z82"/>
    <mergeCell ref="AA82:AA82"/>
    <mergeCell ref="AB82:AB82"/>
    <mergeCell ref="AC82:AC82"/>
    <mergeCell ref="AD82:AD82"/>
    <mergeCell ref="AE82:AE82"/>
    <mergeCell ref="AF82:AF82"/>
    <mergeCell ref="A83:A83"/>
    <mergeCell ref="B83:B83"/>
    <mergeCell ref="C83:C83"/>
    <mergeCell ref="F83:F83"/>
    <mergeCell ref="G83:G83"/>
    <mergeCell ref="H83:H83"/>
    <mergeCell ref="M83:M83"/>
    <mergeCell ref="N83:N83"/>
    <mergeCell ref="O83:O83"/>
    <mergeCell ref="P83:P83"/>
    <mergeCell ref="Q83:Q83"/>
    <mergeCell ref="R83:R83"/>
    <mergeCell ref="S83:S83"/>
    <mergeCell ref="X83:X83"/>
    <mergeCell ref="Y83:Y83"/>
    <mergeCell ref="Z83:Z83"/>
    <mergeCell ref="AA83:AA83"/>
    <mergeCell ref="AB83:AB83"/>
    <mergeCell ref="AC83:AC83"/>
    <mergeCell ref="AD83:AD83"/>
    <mergeCell ref="AE83:AE83"/>
    <mergeCell ref="AF83:AF83"/>
    <mergeCell ref="A84:A84"/>
    <mergeCell ref="B84:B84"/>
    <mergeCell ref="C84:C84"/>
    <mergeCell ref="F84:F84"/>
    <mergeCell ref="G84:G84"/>
    <mergeCell ref="H84:H84"/>
    <mergeCell ref="M84:M84"/>
    <mergeCell ref="N84:N84"/>
    <mergeCell ref="O84:O84"/>
    <mergeCell ref="P84:P84"/>
    <mergeCell ref="Q84:Q84"/>
    <mergeCell ref="R84:R84"/>
    <mergeCell ref="S84:S84"/>
    <mergeCell ref="X84:X84"/>
    <mergeCell ref="Y84:Y84"/>
    <mergeCell ref="Z84:Z84"/>
    <mergeCell ref="AA84:AA84"/>
    <mergeCell ref="AB84:AB84"/>
    <mergeCell ref="AC84:AC84"/>
    <mergeCell ref="AD84:AD84"/>
    <mergeCell ref="AE84:AE84"/>
    <mergeCell ref="AF84:AF84"/>
    <mergeCell ref="A85:A85"/>
    <mergeCell ref="B85:B85"/>
    <mergeCell ref="C85:C85"/>
    <mergeCell ref="F85:F85"/>
    <mergeCell ref="G85:G85"/>
    <mergeCell ref="H85:H85"/>
    <mergeCell ref="M85:M85"/>
    <mergeCell ref="N85:N85"/>
    <mergeCell ref="O85:O85"/>
    <mergeCell ref="P85:P85"/>
    <mergeCell ref="Q85:Q85"/>
    <mergeCell ref="R85:R85"/>
    <mergeCell ref="S85:S85"/>
    <mergeCell ref="X85:X85"/>
    <mergeCell ref="Y85:Y85"/>
    <mergeCell ref="Z85:Z85"/>
    <mergeCell ref="AA85:AA85"/>
    <mergeCell ref="AB85:AB85"/>
    <mergeCell ref="AC85:AC85"/>
    <mergeCell ref="AD85:AD85"/>
    <mergeCell ref="AE85:AE85"/>
    <mergeCell ref="AF85:AF85"/>
    <mergeCell ref="A86:A86"/>
    <mergeCell ref="B86:B86"/>
    <mergeCell ref="C86:C86"/>
    <mergeCell ref="F86:F86"/>
    <mergeCell ref="G86:G86"/>
    <mergeCell ref="H86:H86"/>
    <mergeCell ref="M86:M86"/>
    <mergeCell ref="N86:N86"/>
    <mergeCell ref="O86:O86"/>
    <mergeCell ref="P86:P86"/>
    <mergeCell ref="Q86:Q86"/>
    <mergeCell ref="R86:R86"/>
    <mergeCell ref="S86:S86"/>
    <mergeCell ref="X86:X86"/>
    <mergeCell ref="Y86:Y86"/>
    <mergeCell ref="Z86:Z86"/>
    <mergeCell ref="AA86:AA86"/>
    <mergeCell ref="AB86:AB86"/>
    <mergeCell ref="AC86:AC86"/>
    <mergeCell ref="AD86:AD86"/>
    <mergeCell ref="AE86:AE86"/>
    <mergeCell ref="AF86:AF86"/>
    <mergeCell ref="A87:A87"/>
    <mergeCell ref="B87:B87"/>
    <mergeCell ref="C87:C87"/>
    <mergeCell ref="F87:F87"/>
    <mergeCell ref="G87:G87"/>
    <mergeCell ref="H87:H87"/>
    <mergeCell ref="M87:M87"/>
    <mergeCell ref="N87:N87"/>
    <mergeCell ref="O87:O87"/>
    <mergeCell ref="P87:P87"/>
    <mergeCell ref="Q87:Q87"/>
    <mergeCell ref="R87:R87"/>
    <mergeCell ref="S87:S87"/>
    <mergeCell ref="X87:X87"/>
    <mergeCell ref="Y87:Y87"/>
    <mergeCell ref="Z87:Z87"/>
    <mergeCell ref="AA87:AA87"/>
    <mergeCell ref="AB87:AB87"/>
    <mergeCell ref="AC87:AC87"/>
    <mergeCell ref="AD87:AD87"/>
    <mergeCell ref="AE87:AE87"/>
    <mergeCell ref="AF87:AF87"/>
    <mergeCell ref="A88:A88"/>
    <mergeCell ref="B88:B88"/>
    <mergeCell ref="C88:C88"/>
    <mergeCell ref="F88:F88"/>
    <mergeCell ref="G88:G88"/>
    <mergeCell ref="H88:H88"/>
    <mergeCell ref="M88:M88"/>
    <mergeCell ref="N88:N88"/>
    <mergeCell ref="O88:O88"/>
    <mergeCell ref="P88:P88"/>
    <mergeCell ref="Q88:Q88"/>
    <mergeCell ref="R88:R88"/>
    <mergeCell ref="S88:S88"/>
    <mergeCell ref="X88:X88"/>
    <mergeCell ref="Y88:Y88"/>
    <mergeCell ref="Z88:Z88"/>
    <mergeCell ref="AA88:AA88"/>
    <mergeCell ref="AB88:AB88"/>
    <mergeCell ref="AC88:AC88"/>
    <mergeCell ref="AD88:AD88"/>
    <mergeCell ref="AE88:AE88"/>
    <mergeCell ref="AF88:AF88"/>
    <mergeCell ref="A89:A89"/>
    <mergeCell ref="B89:B89"/>
    <mergeCell ref="C89:C89"/>
    <mergeCell ref="F89:F89"/>
    <mergeCell ref="G89:G89"/>
    <mergeCell ref="H89:H89"/>
    <mergeCell ref="M89:M89"/>
    <mergeCell ref="N89:N89"/>
    <mergeCell ref="O89:O89"/>
    <mergeCell ref="P89:P89"/>
    <mergeCell ref="Q89:Q89"/>
    <mergeCell ref="R89:R89"/>
    <mergeCell ref="S89:S89"/>
    <mergeCell ref="X89:X89"/>
    <mergeCell ref="Y89:Y89"/>
    <mergeCell ref="Z89:Z89"/>
    <mergeCell ref="AA89:AA89"/>
    <mergeCell ref="AB89:AB89"/>
    <mergeCell ref="AC89:AC89"/>
    <mergeCell ref="AD89:AD89"/>
    <mergeCell ref="AE89:AE89"/>
    <mergeCell ref="AF89:AF89"/>
    <mergeCell ref="A90:A90"/>
    <mergeCell ref="B90:B90"/>
    <mergeCell ref="C90:C90"/>
    <mergeCell ref="F90:F90"/>
    <mergeCell ref="G90:G90"/>
    <mergeCell ref="H90:H90"/>
    <mergeCell ref="M90:M90"/>
    <mergeCell ref="N90:N90"/>
    <mergeCell ref="O90:O90"/>
    <mergeCell ref="P90:P90"/>
    <mergeCell ref="Q90:Q90"/>
    <mergeCell ref="R90:R90"/>
    <mergeCell ref="S90:S90"/>
    <mergeCell ref="X90:X90"/>
    <mergeCell ref="Y90:Y90"/>
    <mergeCell ref="Z90:Z90"/>
    <mergeCell ref="AA90:AA90"/>
    <mergeCell ref="AB90:AB90"/>
    <mergeCell ref="AC90:AC90"/>
    <mergeCell ref="AD90:AD90"/>
    <mergeCell ref="AE90:AE90"/>
    <mergeCell ref="AF90:AF90"/>
    <mergeCell ref="A91:A91"/>
    <mergeCell ref="B91:B91"/>
    <mergeCell ref="C91:C91"/>
    <mergeCell ref="F91:F91"/>
    <mergeCell ref="G91:G91"/>
    <mergeCell ref="H91:H91"/>
    <mergeCell ref="M91:M91"/>
    <mergeCell ref="N91:N91"/>
    <mergeCell ref="O91:O91"/>
    <mergeCell ref="P91:P91"/>
    <mergeCell ref="Q91:Q91"/>
    <mergeCell ref="R91:R91"/>
    <mergeCell ref="S91:S91"/>
    <mergeCell ref="X91:X91"/>
    <mergeCell ref="Y91:Y91"/>
    <mergeCell ref="Z91:Z91"/>
    <mergeCell ref="AA91:AA91"/>
    <mergeCell ref="AB91:AB91"/>
    <mergeCell ref="AC91:AC91"/>
    <mergeCell ref="AD91:AD91"/>
    <mergeCell ref="AE91:AE91"/>
    <mergeCell ref="AF91:AF91"/>
    <mergeCell ref="A92:A92"/>
    <mergeCell ref="B92:B92"/>
    <mergeCell ref="C92:C92"/>
    <mergeCell ref="F92:F92"/>
    <mergeCell ref="G92:G92"/>
    <mergeCell ref="H92:H92"/>
    <mergeCell ref="M92:M92"/>
    <mergeCell ref="N92:N92"/>
    <mergeCell ref="O92:O92"/>
    <mergeCell ref="P92:P92"/>
    <mergeCell ref="Q92:Q92"/>
    <mergeCell ref="R92:R92"/>
    <mergeCell ref="S92:S92"/>
    <mergeCell ref="X92:X92"/>
    <mergeCell ref="Y92:Y92"/>
    <mergeCell ref="Z92:Z92"/>
    <mergeCell ref="AA92:AA92"/>
    <mergeCell ref="AB92:AB92"/>
    <mergeCell ref="AC92:AC92"/>
    <mergeCell ref="AD92:AD92"/>
    <mergeCell ref="AE92:AE92"/>
    <mergeCell ref="AF92:AF92"/>
    <mergeCell ref="A93:A93"/>
    <mergeCell ref="B93:B93"/>
    <mergeCell ref="C93:C93"/>
    <mergeCell ref="F93:F93"/>
    <mergeCell ref="G93:G93"/>
    <mergeCell ref="H93:H93"/>
    <mergeCell ref="M93:M93"/>
    <mergeCell ref="N93:N93"/>
    <mergeCell ref="O93:O93"/>
    <mergeCell ref="P93:P93"/>
    <mergeCell ref="Q93:Q93"/>
    <mergeCell ref="R93:R93"/>
    <mergeCell ref="S93:S93"/>
    <mergeCell ref="X93:X93"/>
    <mergeCell ref="Y93:Y93"/>
    <mergeCell ref="Z93:Z93"/>
    <mergeCell ref="AA93:AA93"/>
    <mergeCell ref="AB93:AB93"/>
    <mergeCell ref="AC93:AC93"/>
    <mergeCell ref="AD93:AD93"/>
    <mergeCell ref="AE93:AE93"/>
    <mergeCell ref="AF93:AF93"/>
    <mergeCell ref="A94:A94"/>
    <mergeCell ref="B94:B94"/>
    <mergeCell ref="C94:C94"/>
    <mergeCell ref="F94:F94"/>
    <mergeCell ref="G94:G94"/>
    <mergeCell ref="H94:H94"/>
    <mergeCell ref="M94:M94"/>
    <mergeCell ref="N94:N94"/>
    <mergeCell ref="O94:O94"/>
    <mergeCell ref="P94:P94"/>
    <mergeCell ref="Q94:Q94"/>
    <mergeCell ref="R94:R94"/>
    <mergeCell ref="S94:S94"/>
    <mergeCell ref="X94:X94"/>
    <mergeCell ref="Y94:Y94"/>
    <mergeCell ref="Z94:Z94"/>
    <mergeCell ref="AA94:AA94"/>
    <mergeCell ref="AB94:AB94"/>
    <mergeCell ref="AC94:AC94"/>
    <mergeCell ref="AD94:AD94"/>
    <mergeCell ref="AE94:AE94"/>
    <mergeCell ref="AF94:AF94"/>
    <mergeCell ref="A95:A95"/>
    <mergeCell ref="B95:B95"/>
    <mergeCell ref="C95:C95"/>
    <mergeCell ref="F95:F95"/>
    <mergeCell ref="G95:G95"/>
    <mergeCell ref="H95:H95"/>
    <mergeCell ref="M95:M95"/>
    <mergeCell ref="N95:N95"/>
    <mergeCell ref="O95:O95"/>
    <mergeCell ref="P95:P95"/>
    <mergeCell ref="Q95:Q95"/>
    <mergeCell ref="R95:R95"/>
    <mergeCell ref="S95:S95"/>
    <mergeCell ref="X95:X95"/>
    <mergeCell ref="Y95:Y95"/>
    <mergeCell ref="Z95:Z95"/>
    <mergeCell ref="AA95:AA95"/>
    <mergeCell ref="AB95:AB95"/>
    <mergeCell ref="AC95:AC95"/>
    <mergeCell ref="AD95:AD95"/>
    <mergeCell ref="AE95:AE95"/>
    <mergeCell ref="AF95:AF95"/>
    <mergeCell ref="A96:A96"/>
    <mergeCell ref="B96:B96"/>
    <mergeCell ref="C96:C96"/>
    <mergeCell ref="F96:F96"/>
    <mergeCell ref="G96:G96"/>
    <mergeCell ref="H96:H96"/>
    <mergeCell ref="M96:M96"/>
    <mergeCell ref="N96:N96"/>
    <mergeCell ref="O96:O96"/>
    <mergeCell ref="P96:P96"/>
    <mergeCell ref="Q96:Q96"/>
    <mergeCell ref="R96:R96"/>
    <mergeCell ref="S96:S96"/>
    <mergeCell ref="X96:X96"/>
    <mergeCell ref="Y96:Y96"/>
    <mergeCell ref="Z96:Z96"/>
    <mergeCell ref="AA96:AA96"/>
    <mergeCell ref="AB96:AB96"/>
    <mergeCell ref="AC96:AC96"/>
    <mergeCell ref="AD96:AD96"/>
    <mergeCell ref="AE96:AE96"/>
    <mergeCell ref="AF96:AF96"/>
    <mergeCell ref="A97:A97"/>
    <mergeCell ref="B97:B97"/>
    <mergeCell ref="C97:C97"/>
    <mergeCell ref="F97:F97"/>
    <mergeCell ref="G97:G97"/>
    <mergeCell ref="H97:H97"/>
    <mergeCell ref="M97:M97"/>
    <mergeCell ref="N97:N97"/>
    <mergeCell ref="O97:O97"/>
    <mergeCell ref="P97:P97"/>
    <mergeCell ref="Q97:Q97"/>
    <mergeCell ref="R97:R97"/>
    <mergeCell ref="S97:S97"/>
    <mergeCell ref="X97:X97"/>
    <mergeCell ref="Y97:Y97"/>
    <mergeCell ref="Z97:Z97"/>
    <mergeCell ref="AA97:AA97"/>
    <mergeCell ref="AB97:AB97"/>
    <mergeCell ref="AC97:AC97"/>
    <mergeCell ref="AD97:AD97"/>
    <mergeCell ref="AE97:AE97"/>
    <mergeCell ref="AF97:AF97"/>
    <mergeCell ref="A98:A98"/>
    <mergeCell ref="B98:B98"/>
    <mergeCell ref="C98:C98"/>
    <mergeCell ref="F98:F98"/>
    <mergeCell ref="G98:G98"/>
    <mergeCell ref="H98:H98"/>
    <mergeCell ref="M98:M98"/>
    <mergeCell ref="N98:N98"/>
    <mergeCell ref="O98:O98"/>
    <mergeCell ref="P98:P98"/>
    <mergeCell ref="Q98:Q98"/>
    <mergeCell ref="R98:R98"/>
    <mergeCell ref="S98:S98"/>
    <mergeCell ref="X98:X98"/>
    <mergeCell ref="Y98:Y98"/>
    <mergeCell ref="Z98:Z98"/>
    <mergeCell ref="AA98:AA98"/>
    <mergeCell ref="AB98:AB98"/>
    <mergeCell ref="AC98:AC98"/>
    <mergeCell ref="AD98:AD98"/>
    <mergeCell ref="AE98:AE98"/>
    <mergeCell ref="AF98:AF98"/>
    <mergeCell ref="A99:A99"/>
    <mergeCell ref="B99:B99"/>
    <mergeCell ref="C99:C99"/>
    <mergeCell ref="F99:F99"/>
    <mergeCell ref="G99:G99"/>
    <mergeCell ref="H99:H99"/>
    <mergeCell ref="M99:M99"/>
    <mergeCell ref="N99:N99"/>
    <mergeCell ref="O99:O99"/>
    <mergeCell ref="P99:P99"/>
    <mergeCell ref="Q99:Q99"/>
    <mergeCell ref="R99:R99"/>
    <mergeCell ref="S99:S99"/>
    <mergeCell ref="X99:X99"/>
    <mergeCell ref="Y99:Y99"/>
    <mergeCell ref="Z99:Z99"/>
    <mergeCell ref="AA99:AA99"/>
    <mergeCell ref="AB99:AB99"/>
    <mergeCell ref="AC99:AC99"/>
    <mergeCell ref="AD99:AD99"/>
    <mergeCell ref="AE99:AE99"/>
    <mergeCell ref="AF99:AF99"/>
    <mergeCell ref="A100:A100"/>
    <mergeCell ref="B100:B100"/>
    <mergeCell ref="C100:C100"/>
    <mergeCell ref="F100:F100"/>
    <mergeCell ref="G100:G100"/>
    <mergeCell ref="H100:H100"/>
    <mergeCell ref="M100:M100"/>
    <mergeCell ref="N100:N100"/>
    <mergeCell ref="O100:O100"/>
    <mergeCell ref="P100:P100"/>
    <mergeCell ref="Q100:Q100"/>
    <mergeCell ref="R100:R100"/>
    <mergeCell ref="S100:S100"/>
    <mergeCell ref="X100:X100"/>
    <mergeCell ref="Y100:Y100"/>
    <mergeCell ref="Z100:Z100"/>
    <mergeCell ref="AA100:AA100"/>
    <mergeCell ref="AB100:AB100"/>
    <mergeCell ref="AC100:AC100"/>
    <mergeCell ref="AD100:AD100"/>
    <mergeCell ref="AE100:AE100"/>
    <mergeCell ref="AF100:AF100"/>
    <mergeCell ref="A101:A101"/>
    <mergeCell ref="B101:B101"/>
    <mergeCell ref="C101:C101"/>
    <mergeCell ref="F101:F101"/>
    <mergeCell ref="G101:G101"/>
    <mergeCell ref="H101:H101"/>
    <mergeCell ref="M101:M101"/>
    <mergeCell ref="N101:N101"/>
    <mergeCell ref="O101:O101"/>
    <mergeCell ref="P101:P101"/>
    <mergeCell ref="Q101:Q101"/>
    <mergeCell ref="R101:R101"/>
    <mergeCell ref="S101:S101"/>
    <mergeCell ref="X101:X101"/>
    <mergeCell ref="Y101:Y101"/>
    <mergeCell ref="Z101:Z101"/>
    <mergeCell ref="AA101:AA101"/>
    <mergeCell ref="AB101:AB101"/>
    <mergeCell ref="AC101:AC101"/>
    <mergeCell ref="AD101:AD101"/>
    <mergeCell ref="AE101:AE101"/>
    <mergeCell ref="AF101:AF101"/>
    <mergeCell ref="A102:A102"/>
    <mergeCell ref="B102:B102"/>
    <mergeCell ref="C102:C102"/>
    <mergeCell ref="F102:F102"/>
    <mergeCell ref="G102:G102"/>
    <mergeCell ref="H102:H102"/>
    <mergeCell ref="M102:M102"/>
    <mergeCell ref="N102:N102"/>
    <mergeCell ref="O102:O102"/>
    <mergeCell ref="P102:P102"/>
    <mergeCell ref="Q102:Q102"/>
    <mergeCell ref="R102:R102"/>
    <mergeCell ref="S102:S102"/>
    <mergeCell ref="X102:X102"/>
    <mergeCell ref="Y102:Y102"/>
    <mergeCell ref="Z102:Z102"/>
    <mergeCell ref="AA102:AA102"/>
    <mergeCell ref="AB102:AB102"/>
    <mergeCell ref="AC102:AC102"/>
    <mergeCell ref="AD102:AD102"/>
    <mergeCell ref="AE102:AE102"/>
    <mergeCell ref="AF102:AF102"/>
    <mergeCell ref="A103:A103"/>
    <mergeCell ref="B103:B103"/>
    <mergeCell ref="C103:C103"/>
    <mergeCell ref="F103:F103"/>
    <mergeCell ref="G103:G103"/>
    <mergeCell ref="H103:H103"/>
    <mergeCell ref="M103:M103"/>
    <mergeCell ref="N103:N103"/>
    <mergeCell ref="O103:O103"/>
    <mergeCell ref="P103:P103"/>
    <mergeCell ref="Q103:Q103"/>
    <mergeCell ref="R103:R103"/>
    <mergeCell ref="S103:S103"/>
    <mergeCell ref="X103:X103"/>
    <mergeCell ref="Y103:Y103"/>
    <mergeCell ref="Z103:Z103"/>
    <mergeCell ref="AA103:AA103"/>
    <mergeCell ref="AB103:AB103"/>
    <mergeCell ref="AC103:AC103"/>
    <mergeCell ref="AD103:AD103"/>
    <mergeCell ref="AE103:AE103"/>
    <mergeCell ref="AF103:AF103"/>
    <mergeCell ref="A104:A104"/>
    <mergeCell ref="B104:B104"/>
    <mergeCell ref="C104:C104"/>
    <mergeCell ref="F104:F104"/>
    <mergeCell ref="G104:G104"/>
    <mergeCell ref="H104:H104"/>
    <mergeCell ref="M104:M104"/>
    <mergeCell ref="N104:N104"/>
    <mergeCell ref="O104:O104"/>
    <mergeCell ref="P104:P104"/>
    <mergeCell ref="Q104:Q104"/>
    <mergeCell ref="R104:R104"/>
    <mergeCell ref="S104:S104"/>
    <mergeCell ref="X104:X104"/>
    <mergeCell ref="Y104:Y104"/>
    <mergeCell ref="Z104:Z104"/>
    <mergeCell ref="AA104:AA104"/>
    <mergeCell ref="AB104:AB104"/>
    <mergeCell ref="AC104:AC104"/>
    <mergeCell ref="AD104:AD104"/>
    <mergeCell ref="AE104:AE104"/>
    <mergeCell ref="AF104:AF104"/>
    <mergeCell ref="A105:A105"/>
    <mergeCell ref="B105:B105"/>
    <mergeCell ref="C105:C105"/>
    <mergeCell ref="F105:F105"/>
    <mergeCell ref="G105:G105"/>
    <mergeCell ref="H105:H105"/>
    <mergeCell ref="M105:M105"/>
    <mergeCell ref="N105:N105"/>
    <mergeCell ref="O105:O105"/>
    <mergeCell ref="P105:P105"/>
    <mergeCell ref="Q105:Q105"/>
    <mergeCell ref="R105:R105"/>
    <mergeCell ref="S105:S105"/>
    <mergeCell ref="X105:X105"/>
    <mergeCell ref="Y105:Y105"/>
    <mergeCell ref="Z105:Z105"/>
    <mergeCell ref="AA105:AA105"/>
    <mergeCell ref="AB105:AB105"/>
    <mergeCell ref="AC105:AC105"/>
    <mergeCell ref="AD105:AD105"/>
    <mergeCell ref="AE105:AE105"/>
    <mergeCell ref="AF105:AF105"/>
    <mergeCell ref="A106:A106"/>
    <mergeCell ref="B106:B106"/>
    <mergeCell ref="C106:C106"/>
    <mergeCell ref="F106:F106"/>
    <mergeCell ref="G106:G106"/>
    <mergeCell ref="H106:H106"/>
    <mergeCell ref="M106:M106"/>
    <mergeCell ref="N106:N106"/>
    <mergeCell ref="O106:O106"/>
    <mergeCell ref="P106:P106"/>
    <mergeCell ref="Q106:Q106"/>
    <mergeCell ref="R106:R106"/>
    <mergeCell ref="S106:S106"/>
    <mergeCell ref="X106:X106"/>
    <mergeCell ref="Y106:Y106"/>
    <mergeCell ref="Z106:Z106"/>
    <mergeCell ref="AA106:AA106"/>
    <mergeCell ref="AB106:AB106"/>
    <mergeCell ref="AC106:AC106"/>
    <mergeCell ref="AD106:AD106"/>
    <mergeCell ref="AE106:AE106"/>
    <mergeCell ref="AF106:AF106"/>
    <mergeCell ref="A107:A107"/>
    <mergeCell ref="B107:B107"/>
    <mergeCell ref="C107:C107"/>
    <mergeCell ref="F107:F107"/>
    <mergeCell ref="G107:G107"/>
    <mergeCell ref="H107:H107"/>
    <mergeCell ref="M107:M107"/>
    <mergeCell ref="N107:N107"/>
    <mergeCell ref="O107:O107"/>
    <mergeCell ref="P107:P107"/>
    <mergeCell ref="Q107:Q107"/>
    <mergeCell ref="R107:R107"/>
    <mergeCell ref="S107:S107"/>
    <mergeCell ref="X107:X107"/>
    <mergeCell ref="Y107:Y107"/>
    <mergeCell ref="Z107:Z107"/>
    <mergeCell ref="AA107:AA107"/>
    <mergeCell ref="AB107:AB107"/>
    <mergeCell ref="AC107:AC107"/>
    <mergeCell ref="AD107:AD107"/>
    <mergeCell ref="AE107:AE107"/>
    <mergeCell ref="AF107:AF107"/>
    <mergeCell ref="A108:A108"/>
    <mergeCell ref="B108:B108"/>
    <mergeCell ref="C108:C108"/>
    <mergeCell ref="F108:F108"/>
    <mergeCell ref="G108:G108"/>
    <mergeCell ref="H108:H108"/>
    <mergeCell ref="M108:M108"/>
    <mergeCell ref="N108:N108"/>
    <mergeCell ref="O108:O108"/>
    <mergeCell ref="P108:P108"/>
    <mergeCell ref="Q108:Q108"/>
    <mergeCell ref="R108:R108"/>
    <mergeCell ref="S108:S108"/>
    <mergeCell ref="X108:X108"/>
    <mergeCell ref="Y108:Y108"/>
    <mergeCell ref="Z108:Z108"/>
    <mergeCell ref="AA108:AA108"/>
    <mergeCell ref="AB108:AB108"/>
    <mergeCell ref="AC108:AC108"/>
    <mergeCell ref="AD108:AD108"/>
    <mergeCell ref="AE108:AE108"/>
    <mergeCell ref="AF108:AF108"/>
    <mergeCell ref="A109:A109"/>
    <mergeCell ref="B109:B109"/>
    <mergeCell ref="C109:C109"/>
    <mergeCell ref="F109:F109"/>
    <mergeCell ref="G109:G109"/>
    <mergeCell ref="H109:H109"/>
    <mergeCell ref="M109:M109"/>
    <mergeCell ref="N109:N109"/>
    <mergeCell ref="O109:O109"/>
    <mergeCell ref="P109:P109"/>
    <mergeCell ref="Q109:Q109"/>
    <mergeCell ref="R109:R109"/>
    <mergeCell ref="S109:S109"/>
    <mergeCell ref="X109:X109"/>
    <mergeCell ref="Y109:Y109"/>
    <mergeCell ref="Z109:Z109"/>
    <mergeCell ref="AA109:AA109"/>
    <mergeCell ref="AB109:AB109"/>
    <mergeCell ref="AC109:AC109"/>
    <mergeCell ref="AD109:AD109"/>
    <mergeCell ref="AE109:AE109"/>
    <mergeCell ref="AF109:AF109"/>
    <mergeCell ref="A110:A110"/>
    <mergeCell ref="B110:B110"/>
    <mergeCell ref="C110:C110"/>
    <mergeCell ref="F110:F110"/>
    <mergeCell ref="G110:G110"/>
    <mergeCell ref="H110:H110"/>
    <mergeCell ref="M110:M110"/>
    <mergeCell ref="N110:N110"/>
    <mergeCell ref="O110:O110"/>
    <mergeCell ref="P110:P110"/>
    <mergeCell ref="Q110:Q110"/>
    <mergeCell ref="R110:R110"/>
    <mergeCell ref="S110:S110"/>
    <mergeCell ref="X110:X110"/>
    <mergeCell ref="Y110:Y110"/>
    <mergeCell ref="Z110:Z110"/>
    <mergeCell ref="AA110:AA110"/>
    <mergeCell ref="AB110:AB110"/>
    <mergeCell ref="AC110:AC110"/>
    <mergeCell ref="AD110:AD110"/>
    <mergeCell ref="AE110:AE110"/>
    <mergeCell ref="AF110:AF110"/>
    <mergeCell ref="A111:A111"/>
    <mergeCell ref="B111:B111"/>
    <mergeCell ref="C111:C111"/>
    <mergeCell ref="F111:F111"/>
    <mergeCell ref="G111:G111"/>
    <mergeCell ref="H111:H111"/>
    <mergeCell ref="M111:M111"/>
    <mergeCell ref="N111:N111"/>
    <mergeCell ref="O111:O111"/>
    <mergeCell ref="P111:P111"/>
    <mergeCell ref="Q111:Q111"/>
    <mergeCell ref="R111:R111"/>
    <mergeCell ref="S111:S111"/>
    <mergeCell ref="X111:X111"/>
    <mergeCell ref="Y111:Y111"/>
    <mergeCell ref="Z111:Z111"/>
    <mergeCell ref="AA111:AA111"/>
    <mergeCell ref="AB111:AB111"/>
    <mergeCell ref="AC111:AC111"/>
    <mergeCell ref="AD111:AD111"/>
    <mergeCell ref="AE111:AE111"/>
    <mergeCell ref="AF111:AF111"/>
    <mergeCell ref="A112:A112"/>
    <mergeCell ref="B112:B112"/>
    <mergeCell ref="C112:C112"/>
    <mergeCell ref="F112:F112"/>
    <mergeCell ref="G112:G112"/>
    <mergeCell ref="H112:H112"/>
    <mergeCell ref="M112:M112"/>
    <mergeCell ref="N112:N112"/>
    <mergeCell ref="O112:O112"/>
    <mergeCell ref="P112:P112"/>
    <mergeCell ref="Q112:Q112"/>
    <mergeCell ref="R112:R112"/>
    <mergeCell ref="S112:S112"/>
    <mergeCell ref="X112:X112"/>
    <mergeCell ref="Y112:Y112"/>
    <mergeCell ref="Z112:Z112"/>
    <mergeCell ref="AA112:AA112"/>
    <mergeCell ref="AB112:AB112"/>
    <mergeCell ref="AC112:AC112"/>
    <mergeCell ref="AD112:AD112"/>
    <mergeCell ref="AE112:AE112"/>
    <mergeCell ref="AF112:AF112"/>
    <mergeCell ref="A113:A113"/>
    <mergeCell ref="B113:B113"/>
    <mergeCell ref="C113:C113"/>
    <mergeCell ref="F113:F113"/>
    <mergeCell ref="G113:G113"/>
    <mergeCell ref="H113:H113"/>
    <mergeCell ref="M113:M113"/>
    <mergeCell ref="N113:N113"/>
    <mergeCell ref="O113:O113"/>
    <mergeCell ref="P113:P113"/>
    <mergeCell ref="Q113:Q113"/>
    <mergeCell ref="R113:R113"/>
    <mergeCell ref="S113:S113"/>
    <mergeCell ref="X113:X113"/>
    <mergeCell ref="Y113:Y113"/>
    <mergeCell ref="Z113:Z113"/>
    <mergeCell ref="AA113:AA113"/>
    <mergeCell ref="AB113:AB113"/>
    <mergeCell ref="AC113:AC113"/>
    <mergeCell ref="AD113:AD113"/>
    <mergeCell ref="AE113:AE113"/>
    <mergeCell ref="AF113:AF113"/>
    <mergeCell ref="A114:A114"/>
    <mergeCell ref="B114:B114"/>
    <mergeCell ref="C114:C114"/>
    <mergeCell ref="F114:F114"/>
    <mergeCell ref="G114:G114"/>
    <mergeCell ref="H114:H114"/>
    <mergeCell ref="M114:M114"/>
    <mergeCell ref="N114:N114"/>
    <mergeCell ref="O114:O114"/>
    <mergeCell ref="P114:P114"/>
    <mergeCell ref="Q114:Q114"/>
    <mergeCell ref="R114:R114"/>
    <mergeCell ref="S114:S114"/>
    <mergeCell ref="X114:X114"/>
    <mergeCell ref="Y114:Y114"/>
    <mergeCell ref="Z114:Z114"/>
    <mergeCell ref="AA114:AA114"/>
    <mergeCell ref="AB114:AB114"/>
    <mergeCell ref="AC114:AC114"/>
    <mergeCell ref="AD114:AD114"/>
    <mergeCell ref="AE114:AE114"/>
    <mergeCell ref="AF114:AF114"/>
    <mergeCell ref="A115:A115"/>
    <mergeCell ref="B115:B115"/>
    <mergeCell ref="C115:C115"/>
    <mergeCell ref="F115:F115"/>
    <mergeCell ref="G115:G115"/>
    <mergeCell ref="H115:H115"/>
    <mergeCell ref="M115:M115"/>
    <mergeCell ref="N115:N115"/>
    <mergeCell ref="O115:O115"/>
    <mergeCell ref="P115:P115"/>
    <mergeCell ref="Q115:Q115"/>
    <mergeCell ref="R115:R115"/>
    <mergeCell ref="S115:S115"/>
    <mergeCell ref="X115:X115"/>
    <mergeCell ref="Y115:Y115"/>
    <mergeCell ref="Z115:Z115"/>
    <mergeCell ref="AA115:AA115"/>
    <mergeCell ref="AB115:AB115"/>
    <mergeCell ref="AC115:AC115"/>
    <mergeCell ref="AD115:AD115"/>
    <mergeCell ref="AE115:AE115"/>
    <mergeCell ref="AF115:AF115"/>
    <mergeCell ref="A116:A116"/>
    <mergeCell ref="B116:B116"/>
    <mergeCell ref="C116:C116"/>
    <mergeCell ref="F116:F116"/>
    <mergeCell ref="G116:G116"/>
    <mergeCell ref="H116:H116"/>
    <mergeCell ref="M116:M116"/>
    <mergeCell ref="N116:N116"/>
    <mergeCell ref="O116:O116"/>
    <mergeCell ref="P116:P116"/>
    <mergeCell ref="Q116:Q116"/>
    <mergeCell ref="R116:R116"/>
    <mergeCell ref="S116:S116"/>
    <mergeCell ref="X116:X116"/>
    <mergeCell ref="Y116:Y116"/>
    <mergeCell ref="Z116:Z116"/>
    <mergeCell ref="AA116:AA116"/>
    <mergeCell ref="AB116:AB116"/>
    <mergeCell ref="AC116:AC116"/>
    <mergeCell ref="AD116:AD116"/>
    <mergeCell ref="AE116:AE116"/>
    <mergeCell ref="AF116:AF116"/>
    <mergeCell ref="A117:A117"/>
    <mergeCell ref="B117:B117"/>
    <mergeCell ref="C117:C117"/>
    <mergeCell ref="F117:F117"/>
    <mergeCell ref="G117:G117"/>
    <mergeCell ref="H117:H117"/>
    <mergeCell ref="M117:M117"/>
    <mergeCell ref="N117:N117"/>
    <mergeCell ref="O117:O117"/>
    <mergeCell ref="P117:P117"/>
    <mergeCell ref="Q117:Q117"/>
    <mergeCell ref="R117:R117"/>
    <mergeCell ref="S117:S117"/>
    <mergeCell ref="X117:X117"/>
    <mergeCell ref="Y117:Y117"/>
    <mergeCell ref="Z117:Z117"/>
    <mergeCell ref="AA117:AA117"/>
    <mergeCell ref="AB117:AB117"/>
    <mergeCell ref="AC117:AC117"/>
    <mergeCell ref="AD117:AD117"/>
    <mergeCell ref="AE117:AE117"/>
    <mergeCell ref="AF117:AF117"/>
    <mergeCell ref="A118:A118"/>
    <mergeCell ref="B118:B118"/>
    <mergeCell ref="C118:C118"/>
    <mergeCell ref="F118:F118"/>
    <mergeCell ref="G118:G118"/>
    <mergeCell ref="H118:H118"/>
    <mergeCell ref="M118:M118"/>
    <mergeCell ref="N118:N118"/>
    <mergeCell ref="O118:O118"/>
    <mergeCell ref="P118:P118"/>
    <mergeCell ref="Q118:Q118"/>
    <mergeCell ref="R118:R118"/>
    <mergeCell ref="S118:S118"/>
    <mergeCell ref="X118:X118"/>
    <mergeCell ref="Y118:Y118"/>
    <mergeCell ref="Z118:Z118"/>
    <mergeCell ref="AA118:AA118"/>
    <mergeCell ref="AB118:AB118"/>
    <mergeCell ref="AC118:AC118"/>
    <mergeCell ref="AD118:AD118"/>
    <mergeCell ref="AE118:AE118"/>
    <mergeCell ref="AF118:AF118"/>
    <mergeCell ref="A119:A119"/>
    <mergeCell ref="B119:B119"/>
    <mergeCell ref="C119:C119"/>
    <mergeCell ref="F119:F119"/>
    <mergeCell ref="G119:G119"/>
    <mergeCell ref="H119:H119"/>
    <mergeCell ref="M119:M119"/>
    <mergeCell ref="N119:N119"/>
    <mergeCell ref="O119:O119"/>
    <mergeCell ref="P119:P119"/>
    <mergeCell ref="Q119:Q119"/>
    <mergeCell ref="R119:R119"/>
    <mergeCell ref="S119:S119"/>
    <mergeCell ref="X119:X119"/>
    <mergeCell ref="Y119:Y119"/>
    <mergeCell ref="Z119:Z119"/>
    <mergeCell ref="AA119:AA119"/>
    <mergeCell ref="AB119:AB119"/>
    <mergeCell ref="AC119:AC119"/>
    <mergeCell ref="AD119:AD119"/>
    <mergeCell ref="AE119:AE119"/>
    <mergeCell ref="AF119:AF119"/>
    <mergeCell ref="A120:A120"/>
    <mergeCell ref="B120:B120"/>
    <mergeCell ref="C120:C120"/>
    <mergeCell ref="F120:F120"/>
    <mergeCell ref="G120:G120"/>
    <mergeCell ref="H120:H120"/>
    <mergeCell ref="M120:M120"/>
    <mergeCell ref="N120:N120"/>
    <mergeCell ref="O120:O120"/>
    <mergeCell ref="P120:P120"/>
    <mergeCell ref="Q120:Q120"/>
    <mergeCell ref="R120:R120"/>
    <mergeCell ref="S120:S120"/>
    <mergeCell ref="X120:X120"/>
    <mergeCell ref="Y120:Y120"/>
    <mergeCell ref="Z120:Z120"/>
    <mergeCell ref="AA120:AA120"/>
    <mergeCell ref="AB120:AB120"/>
    <mergeCell ref="AC120:AC120"/>
    <mergeCell ref="AD120:AD120"/>
    <mergeCell ref="AE120:AE120"/>
    <mergeCell ref="AF120:AF120"/>
    <mergeCell ref="A121:A121"/>
    <mergeCell ref="B121:B121"/>
    <mergeCell ref="C121:C121"/>
    <mergeCell ref="F121:F121"/>
    <mergeCell ref="G121:G121"/>
    <mergeCell ref="H121:H121"/>
    <mergeCell ref="M121:M121"/>
    <mergeCell ref="N121:N121"/>
    <mergeCell ref="O121:O121"/>
    <mergeCell ref="P121:P121"/>
    <mergeCell ref="Q121:Q121"/>
    <mergeCell ref="R121:R121"/>
    <mergeCell ref="S121:S121"/>
    <mergeCell ref="X121:X121"/>
    <mergeCell ref="Y121:Y121"/>
    <mergeCell ref="Z121:Z121"/>
    <mergeCell ref="AA121:AA121"/>
    <mergeCell ref="AB121:AB121"/>
    <mergeCell ref="AC121:AC121"/>
    <mergeCell ref="AD121:AD121"/>
    <mergeCell ref="AE121:AE121"/>
    <mergeCell ref="AF121:AF121"/>
    <mergeCell ref="A122:A122"/>
    <mergeCell ref="B122:B122"/>
    <mergeCell ref="C122:C122"/>
    <mergeCell ref="F122:F122"/>
    <mergeCell ref="G122:G122"/>
    <mergeCell ref="H122:H122"/>
    <mergeCell ref="M122:M122"/>
    <mergeCell ref="N122:N122"/>
    <mergeCell ref="O122:O122"/>
    <mergeCell ref="P122:P122"/>
    <mergeCell ref="Q122:Q122"/>
    <mergeCell ref="R122:R122"/>
    <mergeCell ref="S122:S122"/>
    <mergeCell ref="X122:X122"/>
    <mergeCell ref="Y122:Y122"/>
    <mergeCell ref="Z122:Z122"/>
    <mergeCell ref="AA122:AA122"/>
    <mergeCell ref="AB122:AB122"/>
    <mergeCell ref="AC122:AC122"/>
    <mergeCell ref="AD122:AD122"/>
    <mergeCell ref="AE122:AE122"/>
    <mergeCell ref="AF122:AF122"/>
    <mergeCell ref="A123:A123"/>
    <mergeCell ref="B123:B123"/>
    <mergeCell ref="C123:C123"/>
    <mergeCell ref="F123:F123"/>
    <mergeCell ref="G123:G123"/>
    <mergeCell ref="H123:H123"/>
    <mergeCell ref="M123:M123"/>
    <mergeCell ref="N123:N123"/>
    <mergeCell ref="O123:O123"/>
    <mergeCell ref="P123:P123"/>
    <mergeCell ref="Q123:Q123"/>
    <mergeCell ref="R123:R123"/>
    <mergeCell ref="S123:S123"/>
    <mergeCell ref="X123:X123"/>
    <mergeCell ref="Y123:Y123"/>
    <mergeCell ref="Z123:Z123"/>
    <mergeCell ref="AA123:AA123"/>
    <mergeCell ref="AB123:AB123"/>
    <mergeCell ref="AC123:AC123"/>
    <mergeCell ref="AD123:AD123"/>
    <mergeCell ref="AE123:AE123"/>
    <mergeCell ref="AF123:AF123"/>
    <mergeCell ref="A124:A124"/>
    <mergeCell ref="B124:B124"/>
    <mergeCell ref="C124:C124"/>
    <mergeCell ref="F124:F124"/>
    <mergeCell ref="G124:G124"/>
    <mergeCell ref="H124:H124"/>
    <mergeCell ref="M124:M124"/>
    <mergeCell ref="N124:N124"/>
    <mergeCell ref="O124:O124"/>
    <mergeCell ref="P124:P124"/>
    <mergeCell ref="Q124:Q124"/>
    <mergeCell ref="R124:R124"/>
    <mergeCell ref="S124:S124"/>
    <mergeCell ref="X124:X124"/>
    <mergeCell ref="Y124:Y124"/>
    <mergeCell ref="Z124:Z124"/>
    <mergeCell ref="AA124:AA124"/>
    <mergeCell ref="AB124:AB124"/>
    <mergeCell ref="AC124:AC124"/>
    <mergeCell ref="AD124:AD124"/>
    <mergeCell ref="AE124:AE124"/>
    <mergeCell ref="AF124:AF124"/>
    <mergeCell ref="A125:A125"/>
    <mergeCell ref="B125:B125"/>
    <mergeCell ref="C125:C125"/>
    <mergeCell ref="F125:F125"/>
    <mergeCell ref="G125:G125"/>
    <mergeCell ref="H125:H125"/>
    <mergeCell ref="M125:M125"/>
    <mergeCell ref="N125:N125"/>
    <mergeCell ref="O125:O125"/>
    <mergeCell ref="P125:P125"/>
    <mergeCell ref="Q125:Q125"/>
    <mergeCell ref="R125:R125"/>
    <mergeCell ref="S125:S125"/>
    <mergeCell ref="X125:X125"/>
    <mergeCell ref="Y125:Y125"/>
    <mergeCell ref="Z125:Z125"/>
    <mergeCell ref="AA125:AA125"/>
    <mergeCell ref="AB125:AB125"/>
    <mergeCell ref="AC125:AC125"/>
    <mergeCell ref="AD125:AD125"/>
    <mergeCell ref="AE125:AE125"/>
    <mergeCell ref="AF125:AF125"/>
    <mergeCell ref="A126:A126"/>
    <mergeCell ref="B126:B126"/>
    <mergeCell ref="C126:C126"/>
    <mergeCell ref="F126:F126"/>
    <mergeCell ref="G126:G126"/>
    <mergeCell ref="H126:H126"/>
    <mergeCell ref="M126:M126"/>
    <mergeCell ref="N126:N126"/>
    <mergeCell ref="O126:O126"/>
    <mergeCell ref="P126:P126"/>
    <mergeCell ref="Q126:Q126"/>
    <mergeCell ref="R126:R126"/>
    <mergeCell ref="S126:S126"/>
    <mergeCell ref="X126:X126"/>
    <mergeCell ref="Y126:Y126"/>
    <mergeCell ref="Z126:Z126"/>
    <mergeCell ref="AA126:AA126"/>
    <mergeCell ref="AB126:AB126"/>
    <mergeCell ref="AC126:AC126"/>
    <mergeCell ref="AD126:AD126"/>
    <mergeCell ref="AE126:AE126"/>
    <mergeCell ref="AF126:AF126"/>
    <mergeCell ref="A127:A127"/>
    <mergeCell ref="B127:B127"/>
    <mergeCell ref="C127:C127"/>
    <mergeCell ref="F127:F127"/>
    <mergeCell ref="G127:G127"/>
    <mergeCell ref="H127:H127"/>
    <mergeCell ref="M127:M127"/>
    <mergeCell ref="N127:N127"/>
    <mergeCell ref="O127:O127"/>
    <mergeCell ref="P127:P127"/>
    <mergeCell ref="Q127:Q127"/>
    <mergeCell ref="R127:R127"/>
    <mergeCell ref="S127:S127"/>
    <mergeCell ref="X127:X127"/>
    <mergeCell ref="Y127:Y127"/>
    <mergeCell ref="Z127:Z127"/>
    <mergeCell ref="AA127:AA127"/>
    <mergeCell ref="AB127:AB127"/>
    <mergeCell ref="AC127:AC127"/>
    <mergeCell ref="AD127:AD127"/>
    <mergeCell ref="AE127:AE127"/>
    <mergeCell ref="AF127:AF127"/>
    <mergeCell ref="A128:A128"/>
    <mergeCell ref="B128:B128"/>
    <mergeCell ref="C128:C128"/>
    <mergeCell ref="F128:F128"/>
    <mergeCell ref="G128:G128"/>
    <mergeCell ref="H128:H128"/>
    <mergeCell ref="M128:M128"/>
    <mergeCell ref="N128:N128"/>
    <mergeCell ref="O128:O128"/>
    <mergeCell ref="P128:P128"/>
    <mergeCell ref="Q128:Q128"/>
    <mergeCell ref="R128:R128"/>
    <mergeCell ref="S128:S128"/>
    <mergeCell ref="X128:X128"/>
    <mergeCell ref="Y128:Y128"/>
    <mergeCell ref="Z128:Z128"/>
    <mergeCell ref="AA128:AA128"/>
    <mergeCell ref="AB128:AB128"/>
    <mergeCell ref="AC128:AC128"/>
    <mergeCell ref="AD128:AD128"/>
    <mergeCell ref="AE128:AE128"/>
    <mergeCell ref="AF128:AF128"/>
    <mergeCell ref="A129:A129"/>
    <mergeCell ref="B129:B129"/>
    <mergeCell ref="C129:C129"/>
    <mergeCell ref="F129:F129"/>
    <mergeCell ref="G129:G129"/>
    <mergeCell ref="H129:H129"/>
    <mergeCell ref="M129:M129"/>
    <mergeCell ref="N129:N129"/>
    <mergeCell ref="O129:O129"/>
    <mergeCell ref="P129:P129"/>
    <mergeCell ref="Q129:Q129"/>
    <mergeCell ref="R129:R129"/>
    <mergeCell ref="S129:S129"/>
    <mergeCell ref="X129:X129"/>
    <mergeCell ref="Y129:Y129"/>
    <mergeCell ref="Z129:Z129"/>
    <mergeCell ref="AA129:AA129"/>
    <mergeCell ref="AB129:AB129"/>
    <mergeCell ref="AC129:AC129"/>
    <mergeCell ref="AD129:AD129"/>
    <mergeCell ref="AE129:AE129"/>
    <mergeCell ref="AF129:AF129"/>
    <mergeCell ref="A130:A130"/>
    <mergeCell ref="B130:B130"/>
    <mergeCell ref="C130:C130"/>
    <mergeCell ref="F130:F130"/>
    <mergeCell ref="G130:G130"/>
    <mergeCell ref="H130:H130"/>
    <mergeCell ref="M130:M130"/>
    <mergeCell ref="N130:N130"/>
    <mergeCell ref="O130:O130"/>
    <mergeCell ref="P130:P130"/>
    <mergeCell ref="Q130:Q130"/>
    <mergeCell ref="R130:R130"/>
    <mergeCell ref="S130:S130"/>
    <mergeCell ref="X130:X130"/>
    <mergeCell ref="Y130:Y130"/>
    <mergeCell ref="Z130:Z130"/>
    <mergeCell ref="AA130:AA130"/>
    <mergeCell ref="AB130:AB130"/>
    <mergeCell ref="AC130:AC130"/>
    <mergeCell ref="AD130:AD130"/>
    <mergeCell ref="AE130:AE130"/>
    <mergeCell ref="AF130:AF130"/>
    <mergeCell ref="A131:A131"/>
    <mergeCell ref="B131:B131"/>
    <mergeCell ref="C131:C131"/>
    <mergeCell ref="F131:F131"/>
    <mergeCell ref="G131:G131"/>
    <mergeCell ref="H131:H131"/>
    <mergeCell ref="M131:M131"/>
    <mergeCell ref="N131:N131"/>
    <mergeCell ref="O131:O131"/>
    <mergeCell ref="P131:P131"/>
    <mergeCell ref="Q131:Q131"/>
    <mergeCell ref="R131:R131"/>
    <mergeCell ref="S131:S131"/>
    <mergeCell ref="X131:X131"/>
    <mergeCell ref="Y131:Y131"/>
    <mergeCell ref="Z131:Z131"/>
    <mergeCell ref="AA131:AA131"/>
    <mergeCell ref="AB131:AB131"/>
    <mergeCell ref="AC131:AC131"/>
    <mergeCell ref="AD131:AD131"/>
    <mergeCell ref="AE131:AE131"/>
    <mergeCell ref="AF131:AF131"/>
    <mergeCell ref="A132:A132"/>
    <mergeCell ref="B132:B132"/>
    <mergeCell ref="C132:C132"/>
    <mergeCell ref="F132:F132"/>
    <mergeCell ref="G132:G132"/>
    <mergeCell ref="H132:H132"/>
    <mergeCell ref="M132:M132"/>
    <mergeCell ref="N132:N132"/>
    <mergeCell ref="O132:O132"/>
    <mergeCell ref="P132:P132"/>
    <mergeCell ref="Q132:Q132"/>
    <mergeCell ref="R132:R132"/>
    <mergeCell ref="S132:S132"/>
    <mergeCell ref="X132:X132"/>
    <mergeCell ref="Y132:Y132"/>
    <mergeCell ref="Z132:Z132"/>
    <mergeCell ref="AA132:AA132"/>
    <mergeCell ref="AB132:AB132"/>
    <mergeCell ref="AC132:AC132"/>
    <mergeCell ref="AD132:AD132"/>
    <mergeCell ref="AE132:AE132"/>
    <mergeCell ref="AF132:AF132"/>
    <mergeCell ref="A133:A133"/>
    <mergeCell ref="B133:B133"/>
    <mergeCell ref="C133:C133"/>
    <mergeCell ref="F133:F133"/>
    <mergeCell ref="G133:G133"/>
    <mergeCell ref="H133:H133"/>
    <mergeCell ref="M133:M133"/>
    <mergeCell ref="N133:N133"/>
    <mergeCell ref="O133:O133"/>
    <mergeCell ref="P133:P133"/>
    <mergeCell ref="Q133:Q133"/>
    <mergeCell ref="R133:R133"/>
    <mergeCell ref="S133:S133"/>
    <mergeCell ref="X133:X133"/>
    <mergeCell ref="Y133:Y133"/>
    <mergeCell ref="Z133:Z133"/>
    <mergeCell ref="AA133:AA133"/>
    <mergeCell ref="AB133:AB133"/>
    <mergeCell ref="AC133:AC133"/>
    <mergeCell ref="AD133:AD133"/>
    <mergeCell ref="AE133:AE133"/>
    <mergeCell ref="AF133:AF133"/>
    <mergeCell ref="A134:A134"/>
    <mergeCell ref="B134:B134"/>
    <mergeCell ref="C134:C134"/>
    <mergeCell ref="F134:F134"/>
    <mergeCell ref="G134:G134"/>
    <mergeCell ref="H134:H134"/>
    <mergeCell ref="M134:M134"/>
    <mergeCell ref="N134:N134"/>
    <mergeCell ref="O134:O134"/>
    <mergeCell ref="P134:P134"/>
    <mergeCell ref="Q134:Q134"/>
    <mergeCell ref="R134:R134"/>
    <mergeCell ref="S134:S134"/>
    <mergeCell ref="X134:X134"/>
    <mergeCell ref="Y134:Y134"/>
    <mergeCell ref="Z134:Z134"/>
    <mergeCell ref="AA134:AA134"/>
    <mergeCell ref="AB134:AB134"/>
    <mergeCell ref="AC134:AC134"/>
    <mergeCell ref="AD134:AD134"/>
    <mergeCell ref="AE134:AE134"/>
    <mergeCell ref="AF134:AF134"/>
    <mergeCell ref="A135:A135"/>
    <mergeCell ref="B135:B135"/>
    <mergeCell ref="C135:C135"/>
    <mergeCell ref="F135:F135"/>
    <mergeCell ref="G135:G135"/>
    <mergeCell ref="H135:H135"/>
    <mergeCell ref="M135:M135"/>
    <mergeCell ref="N135:N135"/>
    <mergeCell ref="O135:O135"/>
    <mergeCell ref="P135:P135"/>
    <mergeCell ref="Q135:Q135"/>
    <mergeCell ref="R135:R135"/>
    <mergeCell ref="S135:S135"/>
    <mergeCell ref="X135:X135"/>
    <mergeCell ref="Y135:Y135"/>
    <mergeCell ref="Z135:Z135"/>
    <mergeCell ref="AA135:AA135"/>
    <mergeCell ref="AB135:AB135"/>
    <mergeCell ref="AC135:AC135"/>
    <mergeCell ref="AD135:AD135"/>
    <mergeCell ref="AE135:AE135"/>
    <mergeCell ref="AF135:AF135"/>
    <mergeCell ref="A136:A136"/>
    <mergeCell ref="B136:B136"/>
    <mergeCell ref="C136:C136"/>
    <mergeCell ref="F136:F136"/>
    <mergeCell ref="G136:G136"/>
    <mergeCell ref="H136:H136"/>
    <mergeCell ref="M136:M136"/>
    <mergeCell ref="N136:N136"/>
    <mergeCell ref="O136:O136"/>
    <mergeCell ref="P136:P136"/>
    <mergeCell ref="Q136:Q136"/>
    <mergeCell ref="R136:R136"/>
    <mergeCell ref="S136:S136"/>
    <mergeCell ref="X136:X136"/>
    <mergeCell ref="Y136:Y136"/>
    <mergeCell ref="Z136:Z136"/>
    <mergeCell ref="AA136:AA136"/>
    <mergeCell ref="AB136:AB136"/>
    <mergeCell ref="AC136:AC136"/>
    <mergeCell ref="AD136:AD136"/>
    <mergeCell ref="AE136:AE136"/>
    <mergeCell ref="AF136:AF136"/>
    <mergeCell ref="A137:A137"/>
    <mergeCell ref="B137:B137"/>
    <mergeCell ref="C137:C137"/>
    <mergeCell ref="F137:F137"/>
    <mergeCell ref="G137:G137"/>
    <mergeCell ref="H137:H137"/>
    <mergeCell ref="M137:M137"/>
    <mergeCell ref="N137:N137"/>
    <mergeCell ref="O137:O137"/>
    <mergeCell ref="P137:P137"/>
    <mergeCell ref="Q137:Q137"/>
    <mergeCell ref="R137:R137"/>
    <mergeCell ref="S137:S137"/>
    <mergeCell ref="X137:X137"/>
    <mergeCell ref="Y137:Y137"/>
    <mergeCell ref="Z137:Z137"/>
    <mergeCell ref="AA137:AA137"/>
    <mergeCell ref="AB137:AB137"/>
    <mergeCell ref="AC137:AC137"/>
    <mergeCell ref="AD137:AD137"/>
    <mergeCell ref="AE137:AE137"/>
    <mergeCell ref="AF137:AF137"/>
    <mergeCell ref="A138:A138"/>
    <mergeCell ref="B138:B138"/>
    <mergeCell ref="C138:C138"/>
    <mergeCell ref="F138:F138"/>
    <mergeCell ref="G138:G138"/>
    <mergeCell ref="H138:H138"/>
    <mergeCell ref="M138:M138"/>
    <mergeCell ref="N138:N138"/>
    <mergeCell ref="O138:O138"/>
    <mergeCell ref="P138:P138"/>
    <mergeCell ref="Q138:Q138"/>
    <mergeCell ref="R138:R138"/>
    <mergeCell ref="S138:S138"/>
    <mergeCell ref="X138:X138"/>
    <mergeCell ref="Y138:Y138"/>
    <mergeCell ref="Z138:Z138"/>
    <mergeCell ref="AA138:AA138"/>
    <mergeCell ref="AB138:AB138"/>
    <mergeCell ref="AC138:AC138"/>
    <mergeCell ref="AD138:AD138"/>
    <mergeCell ref="AE138:AE138"/>
    <mergeCell ref="AF138:AF138"/>
    <mergeCell ref="A139:A139"/>
    <mergeCell ref="B139:B139"/>
    <mergeCell ref="C139:C139"/>
    <mergeCell ref="F139:F139"/>
    <mergeCell ref="G139:G139"/>
    <mergeCell ref="H139:H139"/>
    <mergeCell ref="M139:M139"/>
    <mergeCell ref="N139:N139"/>
    <mergeCell ref="O139:O139"/>
    <mergeCell ref="P139:P139"/>
    <mergeCell ref="Q139:Q139"/>
    <mergeCell ref="R139:R139"/>
    <mergeCell ref="S139:S139"/>
    <mergeCell ref="X139:X139"/>
    <mergeCell ref="Y139:Y139"/>
    <mergeCell ref="Z139:Z139"/>
    <mergeCell ref="AA139:AA139"/>
    <mergeCell ref="AB139:AB139"/>
    <mergeCell ref="AC139:AC139"/>
    <mergeCell ref="AD139:AD139"/>
    <mergeCell ref="AE139:AE139"/>
    <mergeCell ref="AF139:AF139"/>
    <mergeCell ref="A140:A140"/>
    <mergeCell ref="B140:B140"/>
    <mergeCell ref="C140:C140"/>
    <mergeCell ref="F140:F140"/>
    <mergeCell ref="G140:G140"/>
    <mergeCell ref="H140:H140"/>
    <mergeCell ref="M140:M140"/>
    <mergeCell ref="N140:N140"/>
    <mergeCell ref="O140:O140"/>
    <mergeCell ref="P140:P140"/>
    <mergeCell ref="Q140:Q140"/>
    <mergeCell ref="R140:R140"/>
    <mergeCell ref="S140:S140"/>
    <mergeCell ref="X140:X140"/>
    <mergeCell ref="Y140:Y140"/>
    <mergeCell ref="Z140:Z140"/>
    <mergeCell ref="AA140:AA140"/>
    <mergeCell ref="AB140:AB140"/>
    <mergeCell ref="AC140:AC140"/>
    <mergeCell ref="AD140:AD140"/>
    <mergeCell ref="AE140:AE140"/>
    <mergeCell ref="AF140:AF140"/>
    <mergeCell ref="A141:A141"/>
    <mergeCell ref="B141:B141"/>
    <mergeCell ref="C141:C141"/>
    <mergeCell ref="F141:F141"/>
    <mergeCell ref="G141:G141"/>
    <mergeCell ref="H141:H141"/>
    <mergeCell ref="M141:M141"/>
    <mergeCell ref="N141:N141"/>
    <mergeCell ref="O141:O141"/>
    <mergeCell ref="P141:P141"/>
    <mergeCell ref="Q141:Q141"/>
    <mergeCell ref="R141:R141"/>
    <mergeCell ref="S141:S141"/>
    <mergeCell ref="X141:X141"/>
    <mergeCell ref="Y141:Y141"/>
    <mergeCell ref="Z141:Z141"/>
    <mergeCell ref="AA141:AA141"/>
    <mergeCell ref="AB141:AB141"/>
    <mergeCell ref="AC141:AC141"/>
    <mergeCell ref="AD141:AD141"/>
    <mergeCell ref="AE141:AE141"/>
    <mergeCell ref="AF141:AF141"/>
    <mergeCell ref="A142:A142"/>
    <mergeCell ref="B142:B142"/>
    <mergeCell ref="C142:C142"/>
    <mergeCell ref="F142:F142"/>
    <mergeCell ref="G142:G142"/>
    <mergeCell ref="H142:H142"/>
    <mergeCell ref="M142:M142"/>
    <mergeCell ref="N142:N142"/>
    <mergeCell ref="O142:O142"/>
    <mergeCell ref="P142:P142"/>
    <mergeCell ref="Q142:Q142"/>
    <mergeCell ref="R142:R142"/>
    <mergeCell ref="S142:S142"/>
    <mergeCell ref="X142:X142"/>
    <mergeCell ref="Y142:Y142"/>
    <mergeCell ref="Z142:Z142"/>
    <mergeCell ref="AA142:AA142"/>
    <mergeCell ref="AB142:AB142"/>
    <mergeCell ref="AC142:AC142"/>
    <mergeCell ref="AD142:AD142"/>
    <mergeCell ref="AE142:AE142"/>
    <mergeCell ref="AF142:AF142"/>
    <mergeCell ref="A143:A143"/>
    <mergeCell ref="B143:B143"/>
    <mergeCell ref="C143:C143"/>
    <mergeCell ref="F143:F143"/>
    <mergeCell ref="G143:G143"/>
    <mergeCell ref="H143:H143"/>
    <mergeCell ref="M143:M143"/>
    <mergeCell ref="N143:N143"/>
    <mergeCell ref="O143:O143"/>
    <mergeCell ref="P143:P143"/>
    <mergeCell ref="Q143:Q143"/>
    <mergeCell ref="R143:R143"/>
    <mergeCell ref="S143:S143"/>
    <mergeCell ref="X143:X143"/>
    <mergeCell ref="Y143:Y143"/>
    <mergeCell ref="Z143:Z143"/>
    <mergeCell ref="AA143:AA143"/>
    <mergeCell ref="AB143:AB143"/>
    <mergeCell ref="AC143:AC143"/>
    <mergeCell ref="AD143:AD143"/>
    <mergeCell ref="AE143:AE143"/>
    <mergeCell ref="AF143:AF143"/>
    <mergeCell ref="A144:A144"/>
    <mergeCell ref="B144:B144"/>
    <mergeCell ref="C144:C144"/>
    <mergeCell ref="F144:F144"/>
    <mergeCell ref="G144:G144"/>
    <mergeCell ref="H144:H144"/>
    <mergeCell ref="M144:M144"/>
    <mergeCell ref="N144:N144"/>
    <mergeCell ref="O144:O144"/>
    <mergeCell ref="P144:P144"/>
    <mergeCell ref="Q144:Q144"/>
    <mergeCell ref="R144:R144"/>
    <mergeCell ref="S144:S144"/>
    <mergeCell ref="X144:X144"/>
    <mergeCell ref="Y144:Y144"/>
    <mergeCell ref="Z144:Z144"/>
    <mergeCell ref="AA144:AA144"/>
    <mergeCell ref="AB144:AB144"/>
    <mergeCell ref="AC144:AC144"/>
    <mergeCell ref="AD144:AD144"/>
    <mergeCell ref="AE144:AE144"/>
    <mergeCell ref="AF144:AF144"/>
    <mergeCell ref="A145:A145"/>
    <mergeCell ref="B145:B145"/>
    <mergeCell ref="C145:C145"/>
    <mergeCell ref="F145:F145"/>
    <mergeCell ref="G145:G145"/>
    <mergeCell ref="H145:H145"/>
    <mergeCell ref="M145:M145"/>
    <mergeCell ref="N145:N145"/>
    <mergeCell ref="O145:O145"/>
    <mergeCell ref="P145:P145"/>
    <mergeCell ref="Q145:Q145"/>
    <mergeCell ref="R145:R145"/>
    <mergeCell ref="S145:S145"/>
    <mergeCell ref="X145:X145"/>
    <mergeCell ref="Y145:Y145"/>
    <mergeCell ref="Z145:Z145"/>
    <mergeCell ref="AA145:AA145"/>
    <mergeCell ref="AB145:AB145"/>
    <mergeCell ref="AC145:AC145"/>
    <mergeCell ref="AD145:AD145"/>
    <mergeCell ref="AE145:AE145"/>
    <mergeCell ref="AF145:AF145"/>
    <mergeCell ref="A146:A146"/>
    <mergeCell ref="B146:B146"/>
    <mergeCell ref="C146:C146"/>
    <mergeCell ref="F146:F146"/>
    <mergeCell ref="G146:G146"/>
    <mergeCell ref="H146:H146"/>
    <mergeCell ref="M146:M146"/>
    <mergeCell ref="N146:N146"/>
    <mergeCell ref="O146:O146"/>
    <mergeCell ref="P146:P146"/>
    <mergeCell ref="Q146:Q146"/>
    <mergeCell ref="R146:R146"/>
    <mergeCell ref="S146:S146"/>
    <mergeCell ref="X146:X146"/>
    <mergeCell ref="Y146:Y146"/>
    <mergeCell ref="Z146:Z146"/>
    <mergeCell ref="AA146:AA146"/>
    <mergeCell ref="AB146:AB146"/>
    <mergeCell ref="AC146:AC146"/>
    <mergeCell ref="AD146:AD146"/>
    <mergeCell ref="AE146:AE146"/>
    <mergeCell ref="AF146:AF146"/>
    <mergeCell ref="A147:A147"/>
    <mergeCell ref="B147:B147"/>
    <mergeCell ref="C147:C147"/>
    <mergeCell ref="F147:F147"/>
    <mergeCell ref="G147:G147"/>
    <mergeCell ref="H147:H147"/>
    <mergeCell ref="M147:M147"/>
    <mergeCell ref="N147:N147"/>
    <mergeCell ref="O147:O147"/>
    <mergeCell ref="P147:P147"/>
    <mergeCell ref="Q147:Q147"/>
    <mergeCell ref="R147:R147"/>
    <mergeCell ref="S147:S147"/>
    <mergeCell ref="X147:X147"/>
    <mergeCell ref="Y147:Y147"/>
    <mergeCell ref="Z147:Z147"/>
    <mergeCell ref="AA147:AA147"/>
    <mergeCell ref="AB147:AB147"/>
    <mergeCell ref="AC147:AC147"/>
    <mergeCell ref="AD147:AD147"/>
    <mergeCell ref="AE147:AE147"/>
    <mergeCell ref="AF147:AF147"/>
    <mergeCell ref="A148:A148"/>
    <mergeCell ref="B148:B148"/>
    <mergeCell ref="C148:C148"/>
    <mergeCell ref="F148:F148"/>
    <mergeCell ref="G148:G148"/>
    <mergeCell ref="H148:H148"/>
    <mergeCell ref="M148:M148"/>
    <mergeCell ref="N148:N148"/>
    <mergeCell ref="O148:O148"/>
    <mergeCell ref="P148:P148"/>
    <mergeCell ref="Q148:Q148"/>
    <mergeCell ref="R148:R148"/>
    <mergeCell ref="S148:S148"/>
    <mergeCell ref="X148:X148"/>
    <mergeCell ref="Y148:Y148"/>
    <mergeCell ref="Z148:Z148"/>
    <mergeCell ref="AA148:AA148"/>
    <mergeCell ref="AB148:AB148"/>
    <mergeCell ref="AC148:AC148"/>
    <mergeCell ref="AD148:AD148"/>
    <mergeCell ref="AE148:AE148"/>
    <mergeCell ref="AF148:AF148"/>
    <mergeCell ref="A149:A149"/>
    <mergeCell ref="B149:B149"/>
    <mergeCell ref="C149:C149"/>
    <mergeCell ref="F149:F149"/>
    <mergeCell ref="G149:G149"/>
    <mergeCell ref="H149:H149"/>
    <mergeCell ref="M149:M149"/>
    <mergeCell ref="N149:N149"/>
    <mergeCell ref="O149:O149"/>
    <mergeCell ref="P149:P149"/>
    <mergeCell ref="Q149:Q149"/>
    <mergeCell ref="R149:R149"/>
    <mergeCell ref="S149:S149"/>
    <mergeCell ref="X149:X149"/>
    <mergeCell ref="Y149:Y149"/>
    <mergeCell ref="Z149:Z149"/>
    <mergeCell ref="AA149:AA149"/>
    <mergeCell ref="AB149:AB149"/>
    <mergeCell ref="AC149:AC149"/>
    <mergeCell ref="AD149:AD149"/>
    <mergeCell ref="AE149:AE149"/>
    <mergeCell ref="AF149:AF149"/>
    <mergeCell ref="A150:A150"/>
    <mergeCell ref="B150:B150"/>
    <mergeCell ref="C150:C150"/>
    <mergeCell ref="F150:F150"/>
    <mergeCell ref="G150:G150"/>
    <mergeCell ref="H150:H150"/>
    <mergeCell ref="M150:M150"/>
    <mergeCell ref="N150:N150"/>
    <mergeCell ref="O150:O150"/>
    <mergeCell ref="P150:P150"/>
    <mergeCell ref="Q150:Q150"/>
    <mergeCell ref="R150:R150"/>
    <mergeCell ref="S150:S150"/>
    <mergeCell ref="X150:X150"/>
    <mergeCell ref="Y150:Y150"/>
    <mergeCell ref="Z150:Z150"/>
    <mergeCell ref="AA150:AA150"/>
    <mergeCell ref="AB150:AB150"/>
    <mergeCell ref="AC150:AC150"/>
    <mergeCell ref="AD150:AD150"/>
    <mergeCell ref="AE150:AE150"/>
    <mergeCell ref="AF150:AF150"/>
    <mergeCell ref="A151:A151"/>
    <mergeCell ref="B151:B151"/>
    <mergeCell ref="C151:C151"/>
    <mergeCell ref="F151:F151"/>
    <mergeCell ref="G151:G151"/>
    <mergeCell ref="H151:H151"/>
    <mergeCell ref="M151:M151"/>
    <mergeCell ref="N151:N151"/>
    <mergeCell ref="O151:O151"/>
    <mergeCell ref="P151:P151"/>
    <mergeCell ref="Q151:Q151"/>
    <mergeCell ref="R151:R151"/>
    <mergeCell ref="S151:S151"/>
    <mergeCell ref="X151:X151"/>
    <mergeCell ref="Y151:Y151"/>
    <mergeCell ref="Z151:Z151"/>
    <mergeCell ref="AA151:AA151"/>
    <mergeCell ref="AB151:AB151"/>
    <mergeCell ref="AC151:AC151"/>
    <mergeCell ref="AD151:AD151"/>
    <mergeCell ref="AE151:AE151"/>
    <mergeCell ref="AF151:AF151"/>
    <mergeCell ref="A152:A152"/>
    <mergeCell ref="B152:B152"/>
    <mergeCell ref="C152:C152"/>
    <mergeCell ref="F152:F152"/>
    <mergeCell ref="G152:G152"/>
    <mergeCell ref="H152:H152"/>
    <mergeCell ref="M152:M152"/>
    <mergeCell ref="N152:N152"/>
    <mergeCell ref="O152:O152"/>
    <mergeCell ref="P152:P152"/>
    <mergeCell ref="Q152:Q152"/>
    <mergeCell ref="R152:R152"/>
    <mergeCell ref="S152:S152"/>
    <mergeCell ref="X152:X152"/>
    <mergeCell ref="Y152:Y152"/>
    <mergeCell ref="Z152:Z152"/>
    <mergeCell ref="AA152:AA152"/>
    <mergeCell ref="AB152:AB152"/>
    <mergeCell ref="AC152:AC152"/>
    <mergeCell ref="AD152:AD152"/>
    <mergeCell ref="AE152:AE152"/>
    <mergeCell ref="AF152:AF152"/>
    <mergeCell ref="A153:A153"/>
    <mergeCell ref="B153:B153"/>
    <mergeCell ref="C153:C153"/>
    <mergeCell ref="F153:F153"/>
    <mergeCell ref="G153:G153"/>
    <mergeCell ref="H153:H153"/>
    <mergeCell ref="M153:M153"/>
    <mergeCell ref="N153:N153"/>
    <mergeCell ref="O153:O153"/>
    <mergeCell ref="P153:P153"/>
    <mergeCell ref="Q153:Q153"/>
    <mergeCell ref="R153:R153"/>
    <mergeCell ref="S153:S153"/>
    <mergeCell ref="X153:X153"/>
    <mergeCell ref="Y153:Y153"/>
    <mergeCell ref="Z153:Z153"/>
    <mergeCell ref="AA153:AA153"/>
    <mergeCell ref="AB153:AB153"/>
    <mergeCell ref="AC153:AC153"/>
    <mergeCell ref="AD153:AD153"/>
    <mergeCell ref="AE153:AE153"/>
    <mergeCell ref="AF153:AF153"/>
    <mergeCell ref="A154:A154"/>
    <mergeCell ref="B154:B154"/>
    <mergeCell ref="C154:C154"/>
    <mergeCell ref="F154:F154"/>
    <mergeCell ref="G154:G154"/>
    <mergeCell ref="H154:H154"/>
    <mergeCell ref="M154:M154"/>
    <mergeCell ref="N154:N154"/>
    <mergeCell ref="O154:O154"/>
    <mergeCell ref="P154:P154"/>
    <mergeCell ref="Q154:Q154"/>
    <mergeCell ref="R154:R154"/>
    <mergeCell ref="S154:S154"/>
    <mergeCell ref="X154:X154"/>
    <mergeCell ref="Y154:Y154"/>
    <mergeCell ref="Z154:Z154"/>
    <mergeCell ref="AA154:AA154"/>
    <mergeCell ref="AB154:AB154"/>
    <mergeCell ref="AC154:AC154"/>
    <mergeCell ref="AD154:AD154"/>
    <mergeCell ref="AE154:AE154"/>
    <mergeCell ref="AF154:AF154"/>
    <mergeCell ref="A155:A155"/>
    <mergeCell ref="B155:B155"/>
    <mergeCell ref="C155:C155"/>
    <mergeCell ref="F155:F155"/>
    <mergeCell ref="G155:G155"/>
    <mergeCell ref="H155:H155"/>
    <mergeCell ref="M155:M155"/>
    <mergeCell ref="N155:N155"/>
    <mergeCell ref="O155:O155"/>
    <mergeCell ref="P155:P155"/>
    <mergeCell ref="Q155:Q155"/>
    <mergeCell ref="R155:R155"/>
    <mergeCell ref="S155:S155"/>
    <mergeCell ref="X155:X155"/>
    <mergeCell ref="Y155:Y155"/>
    <mergeCell ref="Z155:Z155"/>
    <mergeCell ref="AA155:AA155"/>
    <mergeCell ref="AB155:AB155"/>
    <mergeCell ref="AC155:AC155"/>
    <mergeCell ref="AD155:AD155"/>
    <mergeCell ref="AE155:AE155"/>
    <mergeCell ref="AF155:AF155"/>
    <mergeCell ref="A156:A156"/>
    <mergeCell ref="B156:B156"/>
    <mergeCell ref="C156:C156"/>
    <mergeCell ref="F156:F156"/>
    <mergeCell ref="G156:G156"/>
    <mergeCell ref="H156:H156"/>
    <mergeCell ref="M156:M156"/>
    <mergeCell ref="N156:N156"/>
    <mergeCell ref="O156:O156"/>
    <mergeCell ref="P156:P156"/>
    <mergeCell ref="Q156:Q156"/>
    <mergeCell ref="R156:R156"/>
    <mergeCell ref="S156:S156"/>
    <mergeCell ref="X156:X156"/>
    <mergeCell ref="Y156:Y156"/>
    <mergeCell ref="Z156:Z156"/>
    <mergeCell ref="AA156:AA156"/>
    <mergeCell ref="AB156:AB156"/>
    <mergeCell ref="AC156:AC156"/>
    <mergeCell ref="AD156:AD156"/>
    <mergeCell ref="AE156:AE156"/>
    <mergeCell ref="AF156:AF156"/>
    <mergeCell ref="A157:A157"/>
    <mergeCell ref="B157:B157"/>
    <mergeCell ref="C157:C157"/>
    <mergeCell ref="F157:F157"/>
    <mergeCell ref="G157:G157"/>
    <mergeCell ref="H157:H157"/>
    <mergeCell ref="M157:M157"/>
    <mergeCell ref="N157:N157"/>
    <mergeCell ref="O157:O157"/>
    <mergeCell ref="P157:P157"/>
    <mergeCell ref="Q157:Q157"/>
    <mergeCell ref="R157:R157"/>
    <mergeCell ref="S157:S157"/>
    <mergeCell ref="X157:X157"/>
    <mergeCell ref="Y157:Y157"/>
    <mergeCell ref="Z157:Z157"/>
    <mergeCell ref="AA157:AA157"/>
    <mergeCell ref="AB157:AB157"/>
    <mergeCell ref="AC157:AC157"/>
    <mergeCell ref="AD157:AD157"/>
    <mergeCell ref="AE157:AE157"/>
    <mergeCell ref="AF157:AF157"/>
    <mergeCell ref="A158:A158"/>
    <mergeCell ref="B158:B158"/>
    <mergeCell ref="C158:C158"/>
    <mergeCell ref="F158:F158"/>
    <mergeCell ref="G158:G158"/>
    <mergeCell ref="H158:H158"/>
    <mergeCell ref="M158:M158"/>
    <mergeCell ref="N158:N158"/>
    <mergeCell ref="O158:O158"/>
    <mergeCell ref="P158:P158"/>
    <mergeCell ref="Q158:Q158"/>
    <mergeCell ref="R158:R158"/>
    <mergeCell ref="S158:S158"/>
    <mergeCell ref="X158:X158"/>
    <mergeCell ref="Y158:Y158"/>
    <mergeCell ref="Z158:Z158"/>
    <mergeCell ref="AA158:AA158"/>
    <mergeCell ref="AB158:AB158"/>
    <mergeCell ref="AC158:AC158"/>
    <mergeCell ref="AD158:AD158"/>
    <mergeCell ref="AE158:AE158"/>
    <mergeCell ref="AF158:AF158"/>
    <mergeCell ref="A159:A159"/>
    <mergeCell ref="B159:B159"/>
    <mergeCell ref="C159:C159"/>
    <mergeCell ref="F159:F159"/>
    <mergeCell ref="G159:G159"/>
    <mergeCell ref="H159:H159"/>
    <mergeCell ref="M159:M159"/>
    <mergeCell ref="N159:N159"/>
    <mergeCell ref="O159:O159"/>
    <mergeCell ref="P159:P159"/>
    <mergeCell ref="Q159:Q159"/>
    <mergeCell ref="R159:R159"/>
    <mergeCell ref="S159:S159"/>
    <mergeCell ref="X159:X159"/>
    <mergeCell ref="Y159:Y159"/>
    <mergeCell ref="Z159:Z159"/>
    <mergeCell ref="AA159:AA159"/>
    <mergeCell ref="AB159:AB159"/>
    <mergeCell ref="AC159:AC159"/>
    <mergeCell ref="AD159:AD159"/>
    <mergeCell ref="AE159:AE159"/>
    <mergeCell ref="AF159:AF159"/>
    <mergeCell ref="A160:A161"/>
    <mergeCell ref="B160:B161"/>
    <mergeCell ref="C160:C161"/>
    <mergeCell ref="F160:F161"/>
    <mergeCell ref="G160:G161"/>
    <mergeCell ref="H160:H161"/>
    <mergeCell ref="M160:M161"/>
    <mergeCell ref="N160:N161"/>
    <mergeCell ref="O160:O161"/>
    <mergeCell ref="P160:P161"/>
    <mergeCell ref="Q160:Q161"/>
    <mergeCell ref="R160:R161"/>
    <mergeCell ref="S160:S161"/>
    <mergeCell ref="X160:X161"/>
    <mergeCell ref="Y160:Y161"/>
    <mergeCell ref="Z160:Z161"/>
    <mergeCell ref="AA160:AA161"/>
    <mergeCell ref="AB160:AB161"/>
    <mergeCell ref="AC160:AC161"/>
    <mergeCell ref="AD160:AD161"/>
    <mergeCell ref="AE160:AE161"/>
    <mergeCell ref="AF160:AF161"/>
    <mergeCell ref="A162:A162"/>
    <mergeCell ref="B162:B162"/>
    <mergeCell ref="C162:C162"/>
    <mergeCell ref="F162:F162"/>
    <mergeCell ref="G162:G162"/>
    <mergeCell ref="H162:H162"/>
    <mergeCell ref="M162:M162"/>
    <mergeCell ref="N162:N162"/>
    <mergeCell ref="O162:O162"/>
    <mergeCell ref="P162:P162"/>
    <mergeCell ref="Q162:Q162"/>
    <mergeCell ref="R162:R162"/>
    <mergeCell ref="S162:S162"/>
    <mergeCell ref="X162:X162"/>
    <mergeCell ref="Y162:Y162"/>
    <mergeCell ref="Z162:Z162"/>
    <mergeCell ref="AA162:AA162"/>
    <mergeCell ref="AB162:AB162"/>
    <mergeCell ref="AC162:AC162"/>
    <mergeCell ref="AD162:AD162"/>
    <mergeCell ref="AE162:AE162"/>
    <mergeCell ref="AF162:AF162"/>
    <mergeCell ref="A163:A163"/>
    <mergeCell ref="B163:B163"/>
    <mergeCell ref="C163:C163"/>
    <mergeCell ref="F163:F163"/>
    <mergeCell ref="G163:G163"/>
    <mergeCell ref="H163:H163"/>
    <mergeCell ref="M163:M163"/>
    <mergeCell ref="N163:N163"/>
    <mergeCell ref="O163:O163"/>
    <mergeCell ref="P163:P163"/>
    <mergeCell ref="Q163:Q163"/>
    <mergeCell ref="R163:R163"/>
    <mergeCell ref="S163:S163"/>
    <mergeCell ref="X163:X163"/>
    <mergeCell ref="Y163:Y163"/>
    <mergeCell ref="Z163:Z163"/>
    <mergeCell ref="AA163:AA163"/>
    <mergeCell ref="AB163:AB163"/>
    <mergeCell ref="AC163:AC163"/>
    <mergeCell ref="AD163:AD163"/>
    <mergeCell ref="AE163:AE163"/>
    <mergeCell ref="AF163:AF163"/>
    <mergeCell ref="A164:A164"/>
    <mergeCell ref="B164:B164"/>
    <mergeCell ref="C164:C164"/>
    <mergeCell ref="F164:F164"/>
    <mergeCell ref="G164:G164"/>
    <mergeCell ref="H164:H164"/>
    <mergeCell ref="M164:M164"/>
    <mergeCell ref="N164:N164"/>
    <mergeCell ref="O164:O164"/>
    <mergeCell ref="P164:P164"/>
    <mergeCell ref="Q164:Q164"/>
    <mergeCell ref="R164:R164"/>
    <mergeCell ref="S164:S164"/>
    <mergeCell ref="X164:X164"/>
    <mergeCell ref="Y164:Y164"/>
    <mergeCell ref="Z164:Z164"/>
    <mergeCell ref="AA164:AA164"/>
    <mergeCell ref="AB164:AB164"/>
    <mergeCell ref="AC164:AC164"/>
    <mergeCell ref="AD164:AD164"/>
    <mergeCell ref="AE164:AE164"/>
    <mergeCell ref="AF164:AF164"/>
    <mergeCell ref="A165:A165"/>
    <mergeCell ref="B165:B165"/>
    <mergeCell ref="C165:C165"/>
    <mergeCell ref="F165:F165"/>
    <mergeCell ref="G165:G165"/>
    <mergeCell ref="H165:H165"/>
    <mergeCell ref="M165:M165"/>
    <mergeCell ref="N165:N165"/>
    <mergeCell ref="O165:O165"/>
    <mergeCell ref="P165:P165"/>
    <mergeCell ref="Q165:Q165"/>
    <mergeCell ref="R165:R165"/>
    <mergeCell ref="S165:S165"/>
    <mergeCell ref="X165:X165"/>
    <mergeCell ref="Y165:Y165"/>
    <mergeCell ref="Z165:Z165"/>
    <mergeCell ref="AA165:AA165"/>
    <mergeCell ref="AB165:AB165"/>
    <mergeCell ref="AC165:AC165"/>
    <mergeCell ref="AD165:AD165"/>
    <mergeCell ref="AE165:AE165"/>
    <mergeCell ref="AF165:AF165"/>
    <mergeCell ref="A166:A166"/>
    <mergeCell ref="B166:B166"/>
    <mergeCell ref="C166:C166"/>
    <mergeCell ref="F166:F166"/>
    <mergeCell ref="G166:G166"/>
    <mergeCell ref="H166:H166"/>
    <mergeCell ref="M166:M166"/>
    <mergeCell ref="N166:N166"/>
    <mergeCell ref="O166:O166"/>
    <mergeCell ref="P166:P166"/>
    <mergeCell ref="Q166:Q166"/>
    <mergeCell ref="R166:R166"/>
    <mergeCell ref="S166:S166"/>
    <mergeCell ref="X166:X166"/>
    <mergeCell ref="Y166:Y166"/>
    <mergeCell ref="Z166:Z166"/>
    <mergeCell ref="AA166:AA166"/>
    <mergeCell ref="AB166:AB166"/>
    <mergeCell ref="AC166:AC166"/>
    <mergeCell ref="AD166:AD166"/>
    <mergeCell ref="AE166:AE166"/>
    <mergeCell ref="AF166:AF166"/>
    <mergeCell ref="A167:A167"/>
    <mergeCell ref="B167:B167"/>
    <mergeCell ref="C167:C167"/>
    <mergeCell ref="F167:F167"/>
    <mergeCell ref="G167:G167"/>
    <mergeCell ref="H167:H167"/>
    <mergeCell ref="M167:M167"/>
    <mergeCell ref="N167:N167"/>
    <mergeCell ref="O167:O167"/>
    <mergeCell ref="P167:P167"/>
    <mergeCell ref="Q167:Q167"/>
    <mergeCell ref="R167:R167"/>
    <mergeCell ref="S167:S167"/>
    <mergeCell ref="X167:X167"/>
    <mergeCell ref="Y167:Y167"/>
    <mergeCell ref="Z167:Z167"/>
    <mergeCell ref="AA167:AA167"/>
    <mergeCell ref="AB167:AB167"/>
    <mergeCell ref="AC167:AC167"/>
    <mergeCell ref="AD167:AD167"/>
    <mergeCell ref="AE167:AE167"/>
    <mergeCell ref="AF167:AF167"/>
    <mergeCell ref="A168:A168"/>
    <mergeCell ref="B168:B168"/>
    <mergeCell ref="C168:C168"/>
    <mergeCell ref="F168:F168"/>
    <mergeCell ref="G168:G168"/>
    <mergeCell ref="H168:H168"/>
    <mergeCell ref="M168:M168"/>
    <mergeCell ref="N168:N168"/>
    <mergeCell ref="O168:O168"/>
    <mergeCell ref="P168:P168"/>
    <mergeCell ref="Q168:Q168"/>
    <mergeCell ref="R168:R168"/>
    <mergeCell ref="S168:S168"/>
    <mergeCell ref="X168:X168"/>
    <mergeCell ref="Y168:Y168"/>
    <mergeCell ref="Z168:Z168"/>
    <mergeCell ref="AA168:AA168"/>
    <mergeCell ref="AB168:AB168"/>
    <mergeCell ref="AC168:AC168"/>
    <mergeCell ref="AD168:AD168"/>
    <mergeCell ref="AE168:AE168"/>
    <mergeCell ref="AF168:AF168"/>
    <mergeCell ref="A169:A169"/>
    <mergeCell ref="B169:B169"/>
    <mergeCell ref="C169:C169"/>
    <mergeCell ref="F169:F169"/>
    <mergeCell ref="G169:G169"/>
    <mergeCell ref="H169:H169"/>
    <mergeCell ref="M169:M169"/>
    <mergeCell ref="N169:N169"/>
    <mergeCell ref="O169:O169"/>
    <mergeCell ref="P169:P169"/>
    <mergeCell ref="Q169:Q169"/>
    <mergeCell ref="R169:R169"/>
    <mergeCell ref="S169:S169"/>
    <mergeCell ref="X169:X169"/>
    <mergeCell ref="Y169:Y169"/>
    <mergeCell ref="Z169:Z169"/>
    <mergeCell ref="AA169:AA169"/>
    <mergeCell ref="AB169:AB169"/>
    <mergeCell ref="AC169:AC169"/>
    <mergeCell ref="AD169:AD169"/>
    <mergeCell ref="AE169:AE169"/>
    <mergeCell ref="AF169:AF169"/>
    <mergeCell ref="A170:A170"/>
    <mergeCell ref="B170:B170"/>
    <mergeCell ref="C170:C170"/>
    <mergeCell ref="F170:F170"/>
    <mergeCell ref="G170:G170"/>
    <mergeCell ref="H170:H170"/>
    <mergeCell ref="M170:M170"/>
    <mergeCell ref="N170:N170"/>
    <mergeCell ref="O170:O170"/>
    <mergeCell ref="P170:P170"/>
    <mergeCell ref="Q170:Q170"/>
    <mergeCell ref="R170:R170"/>
    <mergeCell ref="S170:S170"/>
    <mergeCell ref="X170:X170"/>
    <mergeCell ref="Y170:Y170"/>
    <mergeCell ref="Z170:Z170"/>
    <mergeCell ref="AA170:AA170"/>
    <mergeCell ref="AB170:AB170"/>
    <mergeCell ref="AC170:AC170"/>
    <mergeCell ref="AD170:AD170"/>
    <mergeCell ref="AE170:AE170"/>
    <mergeCell ref="AF170:AF170"/>
    <mergeCell ref="A171:A171"/>
    <mergeCell ref="B171:B171"/>
    <mergeCell ref="C171:C171"/>
    <mergeCell ref="F171:F171"/>
    <mergeCell ref="G171:G171"/>
    <mergeCell ref="H171:H171"/>
    <mergeCell ref="M171:M171"/>
    <mergeCell ref="N171:N171"/>
    <mergeCell ref="O171:O171"/>
    <mergeCell ref="P171:P171"/>
    <mergeCell ref="Q171:Q171"/>
    <mergeCell ref="R171:R171"/>
    <mergeCell ref="S171:S171"/>
    <mergeCell ref="X171:X171"/>
    <mergeCell ref="Y171:Y171"/>
    <mergeCell ref="Z171:Z171"/>
    <mergeCell ref="AA171:AA171"/>
    <mergeCell ref="AB171:AB171"/>
    <mergeCell ref="AC171:AC171"/>
    <mergeCell ref="AD171:AD171"/>
    <mergeCell ref="AE171:AE171"/>
    <mergeCell ref="AF171:AF171"/>
    <mergeCell ref="A172:A172"/>
    <mergeCell ref="B172:B172"/>
    <mergeCell ref="C172:C172"/>
    <mergeCell ref="F172:F172"/>
    <mergeCell ref="G172:G172"/>
    <mergeCell ref="H172:H172"/>
    <mergeCell ref="M172:M172"/>
    <mergeCell ref="N172:N172"/>
    <mergeCell ref="O172:O172"/>
    <mergeCell ref="P172:P172"/>
    <mergeCell ref="Q172:Q172"/>
    <mergeCell ref="R172:R172"/>
    <mergeCell ref="S172:S172"/>
    <mergeCell ref="X172:X172"/>
    <mergeCell ref="Y172:Y172"/>
    <mergeCell ref="Z172:Z172"/>
    <mergeCell ref="AA172:AA172"/>
    <mergeCell ref="AB172:AB172"/>
    <mergeCell ref="AC172:AC172"/>
    <mergeCell ref="AD172:AD172"/>
    <mergeCell ref="AE172:AE172"/>
    <mergeCell ref="AF172:AF172"/>
    <mergeCell ref="A173:A173"/>
    <mergeCell ref="B173:B173"/>
    <mergeCell ref="C173:C173"/>
    <mergeCell ref="F173:F173"/>
    <mergeCell ref="G173:G173"/>
    <mergeCell ref="H173:H173"/>
    <mergeCell ref="M173:M173"/>
    <mergeCell ref="N173:N173"/>
    <mergeCell ref="O173:O173"/>
    <mergeCell ref="P173:P173"/>
    <mergeCell ref="Q173:Q173"/>
    <mergeCell ref="R173:R173"/>
    <mergeCell ref="S173:S173"/>
    <mergeCell ref="X173:X173"/>
    <mergeCell ref="Y173:Y173"/>
    <mergeCell ref="Z173:Z173"/>
    <mergeCell ref="AA173:AA173"/>
    <mergeCell ref="AB173:AB173"/>
    <mergeCell ref="AC173:AC173"/>
    <mergeCell ref="AD173:AD173"/>
    <mergeCell ref="AE173:AE173"/>
    <mergeCell ref="AF173:AF173"/>
    <mergeCell ref="A174:A174"/>
    <mergeCell ref="B174:B174"/>
    <mergeCell ref="C174:C174"/>
    <mergeCell ref="F174:F174"/>
    <mergeCell ref="G174:G174"/>
    <mergeCell ref="H174:H174"/>
    <mergeCell ref="M174:M174"/>
    <mergeCell ref="N174:N174"/>
    <mergeCell ref="O174:O174"/>
    <mergeCell ref="P174:P174"/>
    <mergeCell ref="Q174:Q174"/>
    <mergeCell ref="R174:R174"/>
    <mergeCell ref="S174:S174"/>
    <mergeCell ref="X174:X174"/>
    <mergeCell ref="Y174:Y174"/>
    <mergeCell ref="Z174:Z174"/>
    <mergeCell ref="AA174:AA174"/>
    <mergeCell ref="AB174:AB174"/>
    <mergeCell ref="AC174:AC174"/>
    <mergeCell ref="AD174:AD174"/>
    <mergeCell ref="AE174:AE174"/>
    <mergeCell ref="AF174:AF174"/>
    <mergeCell ref="A175:A175"/>
    <mergeCell ref="B175:B175"/>
    <mergeCell ref="C175:C175"/>
    <mergeCell ref="F175:F175"/>
    <mergeCell ref="G175:G175"/>
    <mergeCell ref="H175:H175"/>
    <mergeCell ref="M175:M175"/>
    <mergeCell ref="N175:N175"/>
    <mergeCell ref="O175:O175"/>
    <mergeCell ref="P175:P175"/>
    <mergeCell ref="Q175:Q175"/>
    <mergeCell ref="R175:R175"/>
    <mergeCell ref="S175:S175"/>
    <mergeCell ref="X175:X175"/>
    <mergeCell ref="Y175:Y175"/>
    <mergeCell ref="Z175:Z175"/>
    <mergeCell ref="AA175:AA175"/>
    <mergeCell ref="AB175:AB175"/>
    <mergeCell ref="AC175:AC175"/>
    <mergeCell ref="AD175:AD175"/>
    <mergeCell ref="AE175:AE175"/>
    <mergeCell ref="AF175:AF175"/>
    <mergeCell ref="A176:A176"/>
    <mergeCell ref="B176:B176"/>
    <mergeCell ref="C176:C176"/>
    <mergeCell ref="F176:F176"/>
    <mergeCell ref="G176:G176"/>
    <mergeCell ref="H176:H176"/>
    <mergeCell ref="M176:M176"/>
    <mergeCell ref="N176:N176"/>
    <mergeCell ref="O176:O176"/>
    <mergeCell ref="P176:P176"/>
    <mergeCell ref="Q176:Q176"/>
    <mergeCell ref="R176:R176"/>
    <mergeCell ref="S176:S176"/>
    <mergeCell ref="X176:X176"/>
    <mergeCell ref="Y176:Y176"/>
    <mergeCell ref="Z176:Z176"/>
    <mergeCell ref="AA176:AA176"/>
    <mergeCell ref="AB176:AB176"/>
    <mergeCell ref="AC176:AC176"/>
    <mergeCell ref="AD176:AD176"/>
    <mergeCell ref="AE176:AE176"/>
    <mergeCell ref="AF176:AF176"/>
    <mergeCell ref="A177:A177"/>
    <mergeCell ref="B177:B177"/>
    <mergeCell ref="C177:C177"/>
    <mergeCell ref="F177:F177"/>
    <mergeCell ref="G177:G177"/>
    <mergeCell ref="H177:H177"/>
    <mergeCell ref="M177:M177"/>
    <mergeCell ref="N177:N177"/>
    <mergeCell ref="O177:O177"/>
    <mergeCell ref="P177:P177"/>
    <mergeCell ref="Q177:Q177"/>
    <mergeCell ref="R177:R177"/>
    <mergeCell ref="S177:S177"/>
    <mergeCell ref="X177:X177"/>
    <mergeCell ref="Y177:Y177"/>
    <mergeCell ref="Z177:Z177"/>
    <mergeCell ref="AA177:AA177"/>
    <mergeCell ref="AB177:AB177"/>
    <mergeCell ref="AC177:AC177"/>
    <mergeCell ref="AD177:AD177"/>
    <mergeCell ref="AE177:AE177"/>
    <mergeCell ref="AF177:AF177"/>
    <mergeCell ref="A178:A178"/>
    <mergeCell ref="B178:B178"/>
    <mergeCell ref="C178:C178"/>
    <mergeCell ref="F178:F178"/>
    <mergeCell ref="G178:G178"/>
    <mergeCell ref="H178:H178"/>
    <mergeCell ref="M178:M178"/>
    <mergeCell ref="N178:N178"/>
    <mergeCell ref="O178:O178"/>
    <mergeCell ref="P178:P178"/>
    <mergeCell ref="Q178:Q178"/>
    <mergeCell ref="R178:R178"/>
    <mergeCell ref="S178:S178"/>
    <mergeCell ref="X178:X178"/>
    <mergeCell ref="Y178:Y178"/>
    <mergeCell ref="Z178:Z178"/>
    <mergeCell ref="AA178:AA178"/>
    <mergeCell ref="AB178:AB178"/>
    <mergeCell ref="AC178:AC178"/>
    <mergeCell ref="AD178:AD178"/>
    <mergeCell ref="AE178:AE178"/>
    <mergeCell ref="AF178:AF178"/>
    <mergeCell ref="A179:A179"/>
    <mergeCell ref="B179:B179"/>
    <mergeCell ref="C179:C179"/>
    <mergeCell ref="F179:F179"/>
    <mergeCell ref="G179:G179"/>
    <mergeCell ref="H179:H179"/>
    <mergeCell ref="M179:M179"/>
    <mergeCell ref="N179:N179"/>
    <mergeCell ref="O179:O179"/>
    <mergeCell ref="P179:P179"/>
    <mergeCell ref="Q179:Q179"/>
    <mergeCell ref="R179:R179"/>
    <mergeCell ref="S179:S179"/>
    <mergeCell ref="X179:X179"/>
    <mergeCell ref="Y179:Y179"/>
    <mergeCell ref="Z179:Z179"/>
    <mergeCell ref="AA179:AA179"/>
    <mergeCell ref="AB179:AB179"/>
    <mergeCell ref="AC179:AC179"/>
    <mergeCell ref="AD179:AD179"/>
    <mergeCell ref="AE179:AE179"/>
    <mergeCell ref="AF179:AF179"/>
    <mergeCell ref="A180:A180"/>
    <mergeCell ref="B180:B180"/>
    <mergeCell ref="C180:C180"/>
    <mergeCell ref="F180:F180"/>
    <mergeCell ref="G180:G180"/>
    <mergeCell ref="H180:H180"/>
    <mergeCell ref="M180:M180"/>
    <mergeCell ref="N180:N180"/>
    <mergeCell ref="O180:O180"/>
    <mergeCell ref="P180:P180"/>
    <mergeCell ref="Q180:Q180"/>
    <mergeCell ref="R180:R180"/>
    <mergeCell ref="S180:S180"/>
    <mergeCell ref="X180:X180"/>
    <mergeCell ref="Y180:Y180"/>
    <mergeCell ref="Z180:Z180"/>
    <mergeCell ref="AA180:AA180"/>
    <mergeCell ref="AB180:AB180"/>
    <mergeCell ref="AC180:AC180"/>
    <mergeCell ref="AD180:AD180"/>
    <mergeCell ref="AE180:AE180"/>
    <mergeCell ref="AF180:AF180"/>
    <mergeCell ref="A181:A181"/>
    <mergeCell ref="B181:B181"/>
    <mergeCell ref="C181:C181"/>
    <mergeCell ref="F181:F181"/>
    <mergeCell ref="G181:G181"/>
    <mergeCell ref="H181:H181"/>
    <mergeCell ref="M181:M181"/>
    <mergeCell ref="N181:N181"/>
    <mergeCell ref="O181:O181"/>
    <mergeCell ref="P181:P181"/>
    <mergeCell ref="Q181:Q181"/>
    <mergeCell ref="R181:R181"/>
    <mergeCell ref="S181:S181"/>
    <mergeCell ref="X181:X181"/>
    <mergeCell ref="Y181:Y181"/>
    <mergeCell ref="Z181:Z181"/>
    <mergeCell ref="AA181:AA181"/>
    <mergeCell ref="AB181:AB181"/>
    <mergeCell ref="AC181:AC181"/>
    <mergeCell ref="AD181:AD181"/>
    <mergeCell ref="AE181:AE181"/>
    <mergeCell ref="AF181:AF181"/>
    <mergeCell ref="A182:A182"/>
    <mergeCell ref="B182:B182"/>
    <mergeCell ref="C182:C182"/>
    <mergeCell ref="F182:F182"/>
    <mergeCell ref="G182:G182"/>
    <mergeCell ref="H182:H182"/>
    <mergeCell ref="M182:M182"/>
    <mergeCell ref="N182:N182"/>
    <mergeCell ref="O182:O182"/>
    <mergeCell ref="P182:P182"/>
    <mergeCell ref="Q182:Q182"/>
    <mergeCell ref="R182:R182"/>
    <mergeCell ref="S182:S182"/>
    <mergeCell ref="X182:X182"/>
    <mergeCell ref="Y182:Y182"/>
    <mergeCell ref="Z182:Z182"/>
    <mergeCell ref="AA182:AA182"/>
    <mergeCell ref="AB182:AB182"/>
    <mergeCell ref="AC182:AC182"/>
    <mergeCell ref="AD182:AD182"/>
    <mergeCell ref="AE182:AE182"/>
    <mergeCell ref="AF182:AF182"/>
    <mergeCell ref="A183:A183"/>
    <mergeCell ref="B183:B183"/>
    <mergeCell ref="C183:C183"/>
    <mergeCell ref="F183:F183"/>
    <mergeCell ref="G183:G183"/>
    <mergeCell ref="H183:H183"/>
    <mergeCell ref="M183:M183"/>
    <mergeCell ref="N183:N183"/>
    <mergeCell ref="O183:O183"/>
    <mergeCell ref="P183:P183"/>
    <mergeCell ref="Q183:Q183"/>
    <mergeCell ref="R183:R183"/>
    <mergeCell ref="S183:S183"/>
    <mergeCell ref="X183:X183"/>
    <mergeCell ref="Y183:Y183"/>
    <mergeCell ref="Z183:Z183"/>
    <mergeCell ref="AA183:AA183"/>
    <mergeCell ref="AB183:AB183"/>
    <mergeCell ref="AC183:AC183"/>
    <mergeCell ref="AD183:AD183"/>
    <mergeCell ref="AE183:AE183"/>
    <mergeCell ref="AF183:AF183"/>
    <mergeCell ref="A184:A184"/>
    <mergeCell ref="B184:B184"/>
    <mergeCell ref="C184:C184"/>
    <mergeCell ref="F184:F184"/>
    <mergeCell ref="G184:G184"/>
    <mergeCell ref="H184:H184"/>
    <mergeCell ref="M184:M184"/>
    <mergeCell ref="N184:N184"/>
    <mergeCell ref="O184:O184"/>
    <mergeCell ref="P184:P184"/>
    <mergeCell ref="Q184:Q184"/>
    <mergeCell ref="R184:R184"/>
    <mergeCell ref="S184:S184"/>
    <mergeCell ref="X184:X184"/>
    <mergeCell ref="Y184:Y184"/>
    <mergeCell ref="Z184:Z184"/>
    <mergeCell ref="AA184:AA184"/>
    <mergeCell ref="AB184:AB184"/>
    <mergeCell ref="AC184:AC184"/>
    <mergeCell ref="AD184:AD184"/>
    <mergeCell ref="AE184:AE184"/>
    <mergeCell ref="AF184:AF184"/>
    <mergeCell ref="A185:A185"/>
    <mergeCell ref="B185:B185"/>
    <mergeCell ref="C185:C185"/>
    <mergeCell ref="F185:F185"/>
    <mergeCell ref="G185:G185"/>
    <mergeCell ref="H185:H185"/>
    <mergeCell ref="M185:M185"/>
    <mergeCell ref="N185:N185"/>
    <mergeCell ref="O185:O185"/>
    <mergeCell ref="P185:P185"/>
    <mergeCell ref="Q185:Q185"/>
    <mergeCell ref="R185:R185"/>
    <mergeCell ref="S185:S185"/>
    <mergeCell ref="X185:X185"/>
    <mergeCell ref="Y185:Y185"/>
    <mergeCell ref="Z185:Z185"/>
    <mergeCell ref="AA185:AA185"/>
    <mergeCell ref="AB185:AB185"/>
    <mergeCell ref="AC185:AC185"/>
    <mergeCell ref="AD185:AD185"/>
    <mergeCell ref="AE185:AE185"/>
    <mergeCell ref="AF185:AF185"/>
    <mergeCell ref="A186:A186"/>
    <mergeCell ref="B186:B186"/>
    <mergeCell ref="C186:C186"/>
    <mergeCell ref="F186:F186"/>
    <mergeCell ref="G186:G186"/>
    <mergeCell ref="H186:H186"/>
    <mergeCell ref="M186:M186"/>
    <mergeCell ref="N186:N186"/>
    <mergeCell ref="O186:O186"/>
    <mergeCell ref="P186:P186"/>
    <mergeCell ref="Q186:Q186"/>
    <mergeCell ref="R186:R186"/>
    <mergeCell ref="S186:S186"/>
    <mergeCell ref="X186:X186"/>
    <mergeCell ref="Y186:Y186"/>
    <mergeCell ref="Z186:Z186"/>
    <mergeCell ref="AA186:AA186"/>
    <mergeCell ref="AB186:AB186"/>
    <mergeCell ref="AC186:AC186"/>
    <mergeCell ref="AD186:AD186"/>
    <mergeCell ref="AE186:AE186"/>
    <mergeCell ref="AF186:AF186"/>
    <mergeCell ref="A187:A187"/>
    <mergeCell ref="B187:B187"/>
    <mergeCell ref="C187:C187"/>
    <mergeCell ref="F187:F187"/>
    <mergeCell ref="G187:G187"/>
    <mergeCell ref="H187:H187"/>
    <mergeCell ref="M187:M187"/>
    <mergeCell ref="N187:N187"/>
    <mergeCell ref="O187:O187"/>
    <mergeCell ref="P187:P187"/>
    <mergeCell ref="Q187:Q187"/>
    <mergeCell ref="R187:R187"/>
    <mergeCell ref="S187:S187"/>
    <mergeCell ref="X187:X187"/>
    <mergeCell ref="Y187:Y187"/>
    <mergeCell ref="Z187:Z187"/>
    <mergeCell ref="AA187:AA187"/>
    <mergeCell ref="AB187:AB187"/>
    <mergeCell ref="AC187:AC187"/>
    <mergeCell ref="AD187:AD187"/>
    <mergeCell ref="AE187:AE187"/>
    <mergeCell ref="AF187:AF187"/>
    <mergeCell ref="A188:A188"/>
    <mergeCell ref="B188:B188"/>
    <mergeCell ref="C188:C188"/>
    <mergeCell ref="F188:F188"/>
    <mergeCell ref="G188:G188"/>
    <mergeCell ref="H188:H188"/>
    <mergeCell ref="M188:M188"/>
    <mergeCell ref="N188:N188"/>
    <mergeCell ref="O188:O188"/>
    <mergeCell ref="P188:P188"/>
    <mergeCell ref="Q188:Q188"/>
    <mergeCell ref="R188:R188"/>
    <mergeCell ref="S188:S188"/>
    <mergeCell ref="X188:X188"/>
    <mergeCell ref="Y188:Y188"/>
    <mergeCell ref="Z188:Z188"/>
    <mergeCell ref="AA188:AA188"/>
    <mergeCell ref="AB188:AB188"/>
    <mergeCell ref="AC188:AC188"/>
    <mergeCell ref="AD188:AD188"/>
    <mergeCell ref="AE188:AE188"/>
    <mergeCell ref="AF188:AF188"/>
    <mergeCell ref="A189:A189"/>
    <mergeCell ref="B189:B189"/>
    <mergeCell ref="C189:C189"/>
    <mergeCell ref="F189:F189"/>
    <mergeCell ref="G189:G189"/>
    <mergeCell ref="H189:H189"/>
    <mergeCell ref="M189:M189"/>
    <mergeCell ref="N189:N189"/>
    <mergeCell ref="O189:O189"/>
    <mergeCell ref="P189:P189"/>
    <mergeCell ref="Q189:Q189"/>
    <mergeCell ref="R189:R189"/>
    <mergeCell ref="S189:S189"/>
    <mergeCell ref="X189:X189"/>
    <mergeCell ref="Y189:Y189"/>
    <mergeCell ref="Z189:Z189"/>
    <mergeCell ref="AA189:AA189"/>
    <mergeCell ref="AB189:AB189"/>
    <mergeCell ref="AC189:AC189"/>
    <mergeCell ref="AD189:AD189"/>
    <mergeCell ref="AE189:AE189"/>
    <mergeCell ref="AF189:AF189"/>
    <mergeCell ref="A190:A190"/>
    <mergeCell ref="B190:B190"/>
    <mergeCell ref="C190:C190"/>
    <mergeCell ref="F190:F190"/>
    <mergeCell ref="G190:G190"/>
    <mergeCell ref="H190:H190"/>
    <mergeCell ref="M190:M190"/>
    <mergeCell ref="N190:N190"/>
    <mergeCell ref="O190:O190"/>
    <mergeCell ref="P190:P190"/>
    <mergeCell ref="Q190:Q190"/>
    <mergeCell ref="R190:R190"/>
    <mergeCell ref="S190:S190"/>
    <mergeCell ref="X190:X190"/>
    <mergeCell ref="Y190:Y190"/>
    <mergeCell ref="Z190:Z190"/>
    <mergeCell ref="AA190:AA190"/>
    <mergeCell ref="AB190:AB190"/>
    <mergeCell ref="AC190:AC190"/>
    <mergeCell ref="AD190:AD190"/>
    <mergeCell ref="AE190:AE190"/>
    <mergeCell ref="AF190:AF190"/>
    <mergeCell ref="A191:A191"/>
    <mergeCell ref="B191:B191"/>
    <mergeCell ref="C191:C191"/>
    <mergeCell ref="F191:F191"/>
    <mergeCell ref="G191:G191"/>
    <mergeCell ref="H191:H191"/>
    <mergeCell ref="M191:M191"/>
    <mergeCell ref="N191:N191"/>
    <mergeCell ref="O191:O191"/>
    <mergeCell ref="P191:P191"/>
    <mergeCell ref="Q191:Q191"/>
    <mergeCell ref="R191:R191"/>
    <mergeCell ref="S191:S191"/>
    <mergeCell ref="X191:X191"/>
    <mergeCell ref="Y191:Y191"/>
    <mergeCell ref="Z191:Z191"/>
    <mergeCell ref="AA191:AA191"/>
    <mergeCell ref="AB191:AB191"/>
    <mergeCell ref="AC191:AC191"/>
    <mergeCell ref="AD191:AD191"/>
    <mergeCell ref="AE191:AE191"/>
    <mergeCell ref="AF191:AF191"/>
    <mergeCell ref="A192:A192"/>
    <mergeCell ref="B192:B192"/>
    <mergeCell ref="C192:C192"/>
    <mergeCell ref="F192:F192"/>
    <mergeCell ref="G192:G192"/>
    <mergeCell ref="H192:H192"/>
    <mergeCell ref="M192:M192"/>
    <mergeCell ref="N192:N192"/>
    <mergeCell ref="O192:O192"/>
    <mergeCell ref="P192:P192"/>
    <mergeCell ref="Q192:Q192"/>
    <mergeCell ref="R192:R192"/>
    <mergeCell ref="S192:S192"/>
    <mergeCell ref="X192:X192"/>
    <mergeCell ref="Y192:Y192"/>
    <mergeCell ref="Z192:Z192"/>
    <mergeCell ref="AA192:AA192"/>
    <mergeCell ref="AB192:AB192"/>
    <mergeCell ref="AC192:AC192"/>
    <mergeCell ref="AD192:AD192"/>
    <mergeCell ref="AE192:AE192"/>
    <mergeCell ref="AF192:AF192"/>
    <mergeCell ref="A193:A193"/>
    <mergeCell ref="B193:B193"/>
    <mergeCell ref="C193:C193"/>
    <mergeCell ref="F193:F193"/>
    <mergeCell ref="G193:G193"/>
    <mergeCell ref="H193:H193"/>
    <mergeCell ref="M193:M193"/>
    <mergeCell ref="N193:N193"/>
    <mergeCell ref="O193:O193"/>
    <mergeCell ref="P193:P193"/>
    <mergeCell ref="Q193:Q193"/>
    <mergeCell ref="R193:R193"/>
    <mergeCell ref="S193:S193"/>
    <mergeCell ref="X193:X193"/>
    <mergeCell ref="Y193:Y193"/>
    <mergeCell ref="Z193:Z193"/>
    <mergeCell ref="AA193:AA193"/>
    <mergeCell ref="AB193:AB193"/>
    <mergeCell ref="AC193:AC193"/>
    <mergeCell ref="AD193:AD193"/>
    <mergeCell ref="AE193:AE193"/>
    <mergeCell ref="AF193:AF193"/>
    <mergeCell ref="A194:A194"/>
    <mergeCell ref="B194:B194"/>
    <mergeCell ref="C194:C194"/>
    <mergeCell ref="F194:F194"/>
    <mergeCell ref="G194:G194"/>
    <mergeCell ref="H194:H194"/>
    <mergeCell ref="M194:M194"/>
    <mergeCell ref="N194:N194"/>
    <mergeCell ref="O194:O194"/>
    <mergeCell ref="P194:P194"/>
    <mergeCell ref="Q194:Q194"/>
    <mergeCell ref="R194:R194"/>
    <mergeCell ref="S194:S194"/>
    <mergeCell ref="X194:X194"/>
    <mergeCell ref="Y194:Y194"/>
    <mergeCell ref="Z194:Z194"/>
    <mergeCell ref="AA194:AA194"/>
    <mergeCell ref="AB194:AB194"/>
    <mergeCell ref="AC194:AC194"/>
    <mergeCell ref="AD194:AD194"/>
    <mergeCell ref="AE194:AE194"/>
    <mergeCell ref="AF194:AF194"/>
    <mergeCell ref="A195:A195"/>
    <mergeCell ref="B195:B195"/>
    <mergeCell ref="C195:C195"/>
    <mergeCell ref="F195:F195"/>
    <mergeCell ref="G195:G195"/>
    <mergeCell ref="H195:H195"/>
    <mergeCell ref="M195:M195"/>
    <mergeCell ref="N195:N195"/>
    <mergeCell ref="O195:O195"/>
    <mergeCell ref="P195:P195"/>
    <mergeCell ref="Q195:Q195"/>
    <mergeCell ref="R195:R195"/>
    <mergeCell ref="S195:S195"/>
    <mergeCell ref="X195:X195"/>
    <mergeCell ref="Y195:Y195"/>
    <mergeCell ref="Z195:Z195"/>
    <mergeCell ref="AA195:AA195"/>
    <mergeCell ref="AB195:AB195"/>
    <mergeCell ref="AC195:AC195"/>
    <mergeCell ref="AD195:AD195"/>
    <mergeCell ref="AE195:AE195"/>
    <mergeCell ref="AF195:AF195"/>
    <mergeCell ref="A196:A196"/>
    <mergeCell ref="B196:B196"/>
    <mergeCell ref="C196:C196"/>
    <mergeCell ref="F196:F196"/>
    <mergeCell ref="G196:G196"/>
    <mergeCell ref="H196:H196"/>
    <mergeCell ref="M196:M196"/>
    <mergeCell ref="N196:N196"/>
    <mergeCell ref="O196:O196"/>
    <mergeCell ref="P196:P196"/>
    <mergeCell ref="Q196:Q196"/>
    <mergeCell ref="R196:R196"/>
    <mergeCell ref="S196:S196"/>
    <mergeCell ref="X196:X196"/>
    <mergeCell ref="Y196:Y196"/>
    <mergeCell ref="Z196:Z196"/>
    <mergeCell ref="AA196:AA196"/>
    <mergeCell ref="AB196:AB196"/>
    <mergeCell ref="AC196:AC196"/>
    <mergeCell ref="AD196:AD196"/>
    <mergeCell ref="AE196:AE196"/>
    <mergeCell ref="AF196:AF196"/>
    <mergeCell ref="A197:A197"/>
    <mergeCell ref="B197:B197"/>
    <mergeCell ref="C197:C197"/>
    <mergeCell ref="F197:F197"/>
    <mergeCell ref="G197:G197"/>
    <mergeCell ref="H197:H197"/>
    <mergeCell ref="M197:M197"/>
    <mergeCell ref="N197:N197"/>
    <mergeCell ref="O197:O197"/>
    <mergeCell ref="P197:P197"/>
    <mergeCell ref="Q197:Q197"/>
    <mergeCell ref="R197:R197"/>
    <mergeCell ref="S197:S197"/>
    <mergeCell ref="X197:X197"/>
    <mergeCell ref="Y197:Y197"/>
    <mergeCell ref="Z197:Z197"/>
    <mergeCell ref="AA197:AA197"/>
    <mergeCell ref="AB197:AB197"/>
    <mergeCell ref="AC197:AC197"/>
    <mergeCell ref="AD197:AD197"/>
    <mergeCell ref="AE197:AE197"/>
    <mergeCell ref="AF197:AF197"/>
    <mergeCell ref="A198:A198"/>
    <mergeCell ref="B198:B198"/>
    <mergeCell ref="C198:C198"/>
    <mergeCell ref="F198:F198"/>
    <mergeCell ref="G198:G198"/>
    <mergeCell ref="H198:H198"/>
    <mergeCell ref="M198:M198"/>
    <mergeCell ref="N198:N198"/>
    <mergeCell ref="O198:O198"/>
    <mergeCell ref="P198:P198"/>
    <mergeCell ref="Q198:Q198"/>
    <mergeCell ref="R198:R198"/>
    <mergeCell ref="S198:S198"/>
    <mergeCell ref="X198:X198"/>
    <mergeCell ref="Y198:Y198"/>
    <mergeCell ref="Z198:Z198"/>
    <mergeCell ref="AA198:AA198"/>
    <mergeCell ref="AB198:AB198"/>
    <mergeCell ref="AC198:AC198"/>
    <mergeCell ref="AD198:AD198"/>
    <mergeCell ref="AE198:AE198"/>
    <mergeCell ref="AF198:AF198"/>
    <mergeCell ref="A199:A199"/>
    <mergeCell ref="B199:B199"/>
    <mergeCell ref="C199:C199"/>
    <mergeCell ref="F199:F199"/>
    <mergeCell ref="G199:G199"/>
    <mergeCell ref="H199:H199"/>
    <mergeCell ref="M199:M199"/>
    <mergeCell ref="N199:N199"/>
    <mergeCell ref="O199:O199"/>
    <mergeCell ref="P199:P199"/>
    <mergeCell ref="Q199:Q199"/>
    <mergeCell ref="R199:R199"/>
    <mergeCell ref="S199:S199"/>
    <mergeCell ref="X199:X199"/>
    <mergeCell ref="Y199:Y199"/>
    <mergeCell ref="Z199:Z199"/>
    <mergeCell ref="AA199:AA199"/>
    <mergeCell ref="AB199:AB199"/>
    <mergeCell ref="AC199:AC199"/>
    <mergeCell ref="AD199:AD199"/>
    <mergeCell ref="AE199:AE199"/>
    <mergeCell ref="AF199:AF199"/>
    <mergeCell ref="A200:A200"/>
    <mergeCell ref="B200:B200"/>
    <mergeCell ref="C200:C200"/>
    <mergeCell ref="F200:F200"/>
    <mergeCell ref="G200:G200"/>
    <mergeCell ref="H200:H200"/>
    <mergeCell ref="M200:M200"/>
    <mergeCell ref="N200:N200"/>
    <mergeCell ref="O200:O200"/>
    <mergeCell ref="P200:P200"/>
    <mergeCell ref="Q200:Q200"/>
    <mergeCell ref="R200:R200"/>
    <mergeCell ref="S200:S200"/>
    <mergeCell ref="X200:X200"/>
    <mergeCell ref="Y200:Y200"/>
    <mergeCell ref="Z200:Z200"/>
    <mergeCell ref="AA200:AA200"/>
    <mergeCell ref="AB200:AB200"/>
    <mergeCell ref="AC200:AC200"/>
    <mergeCell ref="AD200:AD200"/>
    <mergeCell ref="AE200:AE200"/>
    <mergeCell ref="AF200:AF200"/>
    <mergeCell ref="A201:A201"/>
    <mergeCell ref="B201:B201"/>
    <mergeCell ref="C201:C201"/>
    <mergeCell ref="F201:F201"/>
    <mergeCell ref="G201:G201"/>
    <mergeCell ref="H201:H201"/>
    <mergeCell ref="M201:M201"/>
    <mergeCell ref="N201:N201"/>
    <mergeCell ref="O201:O201"/>
    <mergeCell ref="P201:P201"/>
    <mergeCell ref="Q201:Q201"/>
    <mergeCell ref="R201:R201"/>
    <mergeCell ref="S201:S201"/>
    <mergeCell ref="X201:X201"/>
    <mergeCell ref="Y201:Y201"/>
    <mergeCell ref="Z201:Z201"/>
    <mergeCell ref="AA201:AA201"/>
    <mergeCell ref="AB201:AB201"/>
    <mergeCell ref="AC201:AC201"/>
    <mergeCell ref="AD201:AD201"/>
    <mergeCell ref="AE201:AE201"/>
    <mergeCell ref="AF201:AF201"/>
    <mergeCell ref="A202:A202"/>
    <mergeCell ref="B202:B202"/>
    <mergeCell ref="C202:C202"/>
    <mergeCell ref="F202:F202"/>
    <mergeCell ref="G202:G202"/>
    <mergeCell ref="H202:H202"/>
    <mergeCell ref="M202:M202"/>
    <mergeCell ref="N202:N202"/>
    <mergeCell ref="O202:O202"/>
    <mergeCell ref="P202:P202"/>
    <mergeCell ref="Q202:Q202"/>
    <mergeCell ref="R202:R202"/>
    <mergeCell ref="S202:S202"/>
    <mergeCell ref="X202:X202"/>
    <mergeCell ref="Y202:Y202"/>
    <mergeCell ref="Z202:Z202"/>
    <mergeCell ref="AA202:AA202"/>
    <mergeCell ref="AB202:AB202"/>
    <mergeCell ref="AC202:AC202"/>
    <mergeCell ref="AD202:AD202"/>
    <mergeCell ref="AE202:AE202"/>
    <mergeCell ref="AF202:AF202"/>
    <mergeCell ref="A203:A203"/>
    <mergeCell ref="B203:B203"/>
    <mergeCell ref="C203:C203"/>
    <mergeCell ref="F203:F203"/>
    <mergeCell ref="G203:G203"/>
    <mergeCell ref="H203:H203"/>
    <mergeCell ref="M203:M203"/>
    <mergeCell ref="N203:N203"/>
    <mergeCell ref="O203:O203"/>
    <mergeCell ref="P203:P203"/>
    <mergeCell ref="Q203:Q203"/>
    <mergeCell ref="R203:R203"/>
    <mergeCell ref="S203:S203"/>
    <mergeCell ref="X203:X203"/>
    <mergeCell ref="Y203:Y203"/>
    <mergeCell ref="Z203:Z203"/>
    <mergeCell ref="AA203:AA203"/>
    <mergeCell ref="AB203:AB203"/>
    <mergeCell ref="AC203:AC203"/>
    <mergeCell ref="AD203:AD203"/>
    <mergeCell ref="AE203:AE203"/>
    <mergeCell ref="AF203:AF203"/>
    <mergeCell ref="A204:A204"/>
    <mergeCell ref="B204:B204"/>
    <mergeCell ref="C204:C204"/>
    <mergeCell ref="F204:F204"/>
    <mergeCell ref="G204:G204"/>
    <mergeCell ref="H204:H204"/>
    <mergeCell ref="M204:M204"/>
    <mergeCell ref="N204:N204"/>
    <mergeCell ref="O204:O204"/>
    <mergeCell ref="P204:P204"/>
    <mergeCell ref="Q204:Q204"/>
    <mergeCell ref="R204:R204"/>
    <mergeCell ref="S204:S204"/>
    <mergeCell ref="X204:X204"/>
    <mergeCell ref="Y204:Y204"/>
    <mergeCell ref="Z204:Z204"/>
    <mergeCell ref="AA204:AA204"/>
    <mergeCell ref="AB204:AB204"/>
    <mergeCell ref="AC204:AC204"/>
    <mergeCell ref="AD204:AD204"/>
    <mergeCell ref="AE204:AE204"/>
    <mergeCell ref="AF204:AF204"/>
    <mergeCell ref="A205:A205"/>
    <mergeCell ref="B205:B205"/>
    <mergeCell ref="C205:C205"/>
    <mergeCell ref="F205:F205"/>
    <mergeCell ref="G205:G205"/>
    <mergeCell ref="H205:H205"/>
    <mergeCell ref="M205:M205"/>
    <mergeCell ref="N205:N205"/>
    <mergeCell ref="O205:O205"/>
    <mergeCell ref="P205:P205"/>
    <mergeCell ref="Q205:Q205"/>
    <mergeCell ref="R205:R205"/>
    <mergeCell ref="S205:S205"/>
    <mergeCell ref="X205:X205"/>
    <mergeCell ref="Y205:Y205"/>
    <mergeCell ref="Z205:Z205"/>
    <mergeCell ref="AA205:AA205"/>
    <mergeCell ref="AB205:AB205"/>
    <mergeCell ref="AC205:AC205"/>
    <mergeCell ref="AD205:AD205"/>
    <mergeCell ref="AE205:AE205"/>
    <mergeCell ref="AF205:AF205"/>
    <mergeCell ref="A206:A206"/>
    <mergeCell ref="B206:B206"/>
    <mergeCell ref="C206:C206"/>
    <mergeCell ref="F206:F206"/>
    <mergeCell ref="G206:G206"/>
    <mergeCell ref="H206:H206"/>
    <mergeCell ref="M206:M206"/>
    <mergeCell ref="N206:N206"/>
    <mergeCell ref="O206:O206"/>
    <mergeCell ref="P206:P206"/>
    <mergeCell ref="Q206:Q206"/>
    <mergeCell ref="R206:R206"/>
    <mergeCell ref="S206:S206"/>
    <mergeCell ref="X206:X206"/>
    <mergeCell ref="Y206:Y206"/>
    <mergeCell ref="Z206:Z206"/>
    <mergeCell ref="AA206:AA206"/>
    <mergeCell ref="AB206:AB206"/>
    <mergeCell ref="AC206:AC206"/>
    <mergeCell ref="AD206:AD206"/>
    <mergeCell ref="AE206:AE206"/>
    <mergeCell ref="AF206:AF206"/>
    <mergeCell ref="A207:A207"/>
    <mergeCell ref="B207:B207"/>
    <mergeCell ref="C207:C207"/>
    <mergeCell ref="F207:F207"/>
    <mergeCell ref="G207:G207"/>
    <mergeCell ref="H207:H207"/>
    <mergeCell ref="M207:M207"/>
    <mergeCell ref="N207:N207"/>
    <mergeCell ref="O207:O207"/>
    <mergeCell ref="P207:P207"/>
    <mergeCell ref="Q207:Q207"/>
    <mergeCell ref="R207:R207"/>
    <mergeCell ref="S207:S207"/>
    <mergeCell ref="X207:X207"/>
    <mergeCell ref="Y207:Y207"/>
    <mergeCell ref="Z207:Z207"/>
    <mergeCell ref="AA207:AA207"/>
    <mergeCell ref="AB207:AB207"/>
    <mergeCell ref="AC207:AC207"/>
    <mergeCell ref="AD207:AD207"/>
    <mergeCell ref="AE207:AE207"/>
    <mergeCell ref="AF207:AF207"/>
    <mergeCell ref="A208:A208"/>
    <mergeCell ref="B208:B208"/>
    <mergeCell ref="C208:C208"/>
    <mergeCell ref="F208:F208"/>
    <mergeCell ref="G208:G208"/>
    <mergeCell ref="H208:H208"/>
    <mergeCell ref="M208:M208"/>
    <mergeCell ref="N208:N208"/>
    <mergeCell ref="O208:O208"/>
    <mergeCell ref="P208:P208"/>
    <mergeCell ref="Q208:Q208"/>
    <mergeCell ref="R208:R208"/>
    <mergeCell ref="S208:S208"/>
    <mergeCell ref="X208:X208"/>
    <mergeCell ref="Y208:Y208"/>
    <mergeCell ref="Z208:Z208"/>
    <mergeCell ref="AA208:AA208"/>
    <mergeCell ref="AB208:AB208"/>
    <mergeCell ref="AC208:AC208"/>
    <mergeCell ref="AD208:AD208"/>
    <mergeCell ref="AE208:AE208"/>
    <mergeCell ref="AF208:AF208"/>
    <mergeCell ref="A209:A209"/>
    <mergeCell ref="B209:B209"/>
    <mergeCell ref="C209:C209"/>
    <mergeCell ref="F209:F209"/>
    <mergeCell ref="G209:G209"/>
    <mergeCell ref="H209:H209"/>
    <mergeCell ref="M209:M209"/>
    <mergeCell ref="N209:N209"/>
    <mergeCell ref="O209:O209"/>
    <mergeCell ref="P209:P209"/>
    <mergeCell ref="Q209:Q209"/>
    <mergeCell ref="R209:R209"/>
    <mergeCell ref="S209:S209"/>
    <mergeCell ref="X209:X209"/>
    <mergeCell ref="Y209:Y209"/>
    <mergeCell ref="Z209:Z209"/>
    <mergeCell ref="AA209:AA209"/>
    <mergeCell ref="AB209:AB209"/>
    <mergeCell ref="AC209:AC209"/>
    <mergeCell ref="AD209:AD209"/>
    <mergeCell ref="AE209:AE209"/>
    <mergeCell ref="AF209:AF209"/>
    <mergeCell ref="A210:A210"/>
    <mergeCell ref="B210:B210"/>
    <mergeCell ref="C210:C210"/>
    <mergeCell ref="F210:F210"/>
    <mergeCell ref="G210:G210"/>
    <mergeCell ref="H210:H210"/>
    <mergeCell ref="M210:M210"/>
    <mergeCell ref="N210:N210"/>
    <mergeCell ref="O210:O210"/>
    <mergeCell ref="P210:P210"/>
    <mergeCell ref="Q210:Q210"/>
    <mergeCell ref="R210:R210"/>
    <mergeCell ref="S210:S210"/>
    <mergeCell ref="X210:X210"/>
    <mergeCell ref="Y210:Y210"/>
    <mergeCell ref="Z210:Z210"/>
    <mergeCell ref="AA210:AA210"/>
    <mergeCell ref="AB210:AB210"/>
    <mergeCell ref="AC210:AC210"/>
    <mergeCell ref="AD210:AD210"/>
    <mergeCell ref="AE210:AE210"/>
    <mergeCell ref="AF210:AF210"/>
    <mergeCell ref="A211:A211"/>
    <mergeCell ref="B211:B211"/>
    <mergeCell ref="C211:C211"/>
    <mergeCell ref="F211:F211"/>
    <mergeCell ref="G211:G211"/>
    <mergeCell ref="H211:H211"/>
    <mergeCell ref="M211:M211"/>
    <mergeCell ref="N211:N211"/>
    <mergeCell ref="O211:O211"/>
    <mergeCell ref="P211:P211"/>
    <mergeCell ref="Q211:Q211"/>
    <mergeCell ref="R211:R211"/>
    <mergeCell ref="S211:S211"/>
    <mergeCell ref="X211:X211"/>
    <mergeCell ref="Y211:Y211"/>
    <mergeCell ref="Z211:Z211"/>
    <mergeCell ref="AA211:AA211"/>
    <mergeCell ref="AB211:AB211"/>
    <mergeCell ref="AC211:AC211"/>
    <mergeCell ref="AD211:AD211"/>
    <mergeCell ref="AE211:AE211"/>
    <mergeCell ref="AF211:AF211"/>
    <mergeCell ref="A212:A212"/>
    <mergeCell ref="B212:B212"/>
    <mergeCell ref="C212:C212"/>
    <mergeCell ref="F212:F212"/>
    <mergeCell ref="G212:G212"/>
    <mergeCell ref="H212:H212"/>
    <mergeCell ref="M212:M212"/>
    <mergeCell ref="N212:N212"/>
    <mergeCell ref="O212:O212"/>
    <mergeCell ref="P212:P212"/>
    <mergeCell ref="Q212:Q212"/>
    <mergeCell ref="R212:R212"/>
    <mergeCell ref="S212:S212"/>
    <mergeCell ref="X212:X212"/>
    <mergeCell ref="Y212:Y212"/>
    <mergeCell ref="Z212:Z212"/>
    <mergeCell ref="AA212:AA212"/>
    <mergeCell ref="AB212:AB212"/>
    <mergeCell ref="AC212:AC212"/>
    <mergeCell ref="AD212:AD212"/>
    <mergeCell ref="AE212:AE212"/>
    <mergeCell ref="AF212:AF212"/>
    <mergeCell ref="A213:A213"/>
    <mergeCell ref="B213:B213"/>
    <mergeCell ref="C213:C213"/>
    <mergeCell ref="F213:F213"/>
    <mergeCell ref="G213:G213"/>
    <mergeCell ref="H213:H213"/>
    <mergeCell ref="M213:M213"/>
    <mergeCell ref="N213:N213"/>
    <mergeCell ref="O213:O213"/>
    <mergeCell ref="P213:P213"/>
    <mergeCell ref="Q213:Q213"/>
    <mergeCell ref="R213:R213"/>
    <mergeCell ref="S213:S213"/>
    <mergeCell ref="X213:X213"/>
    <mergeCell ref="Y213:Y213"/>
    <mergeCell ref="Z213:Z213"/>
    <mergeCell ref="AA213:AA213"/>
    <mergeCell ref="AB213:AB213"/>
    <mergeCell ref="AC213:AC213"/>
    <mergeCell ref="AD213:AD213"/>
    <mergeCell ref="AE213:AE213"/>
    <mergeCell ref="AF213:AF213"/>
    <mergeCell ref="A214:A214"/>
    <mergeCell ref="B214:B214"/>
    <mergeCell ref="C214:C214"/>
    <mergeCell ref="F214:F214"/>
    <mergeCell ref="G214:G214"/>
    <mergeCell ref="H214:H214"/>
    <mergeCell ref="M214:M214"/>
    <mergeCell ref="N214:N214"/>
    <mergeCell ref="O214:O214"/>
    <mergeCell ref="P214:P214"/>
    <mergeCell ref="Q214:Q214"/>
    <mergeCell ref="R214:R214"/>
    <mergeCell ref="S214:S214"/>
    <mergeCell ref="X214:X214"/>
    <mergeCell ref="Y214:Y214"/>
    <mergeCell ref="Z214:Z214"/>
    <mergeCell ref="AA214:AA214"/>
    <mergeCell ref="AB214:AB214"/>
    <mergeCell ref="AC214:AC214"/>
    <mergeCell ref="AD214:AD214"/>
    <mergeCell ref="AE214:AE214"/>
    <mergeCell ref="AF214:AF214"/>
    <mergeCell ref="A215:A215"/>
    <mergeCell ref="B215:B215"/>
    <mergeCell ref="C215:C215"/>
    <mergeCell ref="F215:F215"/>
    <mergeCell ref="G215:G215"/>
    <mergeCell ref="H215:H215"/>
    <mergeCell ref="M215:M215"/>
    <mergeCell ref="N215:N215"/>
    <mergeCell ref="O215:O215"/>
    <mergeCell ref="P215:P215"/>
    <mergeCell ref="Q215:Q215"/>
    <mergeCell ref="R215:R215"/>
    <mergeCell ref="S215:S215"/>
    <mergeCell ref="X215:X215"/>
    <mergeCell ref="Y215:Y215"/>
    <mergeCell ref="Z215:Z215"/>
    <mergeCell ref="AA215:AA215"/>
    <mergeCell ref="AB215:AB215"/>
    <mergeCell ref="AC215:AC215"/>
    <mergeCell ref="AD215:AD215"/>
    <mergeCell ref="AE215:AE215"/>
    <mergeCell ref="AF215:AF215"/>
    <mergeCell ref="A216:A216"/>
    <mergeCell ref="B216:B216"/>
    <mergeCell ref="C216:C216"/>
    <mergeCell ref="F216:F216"/>
    <mergeCell ref="G216:G216"/>
    <mergeCell ref="H216:H216"/>
    <mergeCell ref="M216:M216"/>
    <mergeCell ref="N216:N216"/>
    <mergeCell ref="O216:O216"/>
    <mergeCell ref="P216:P216"/>
    <mergeCell ref="Q216:Q216"/>
    <mergeCell ref="R216:R216"/>
    <mergeCell ref="S216:S216"/>
    <mergeCell ref="X216:X216"/>
    <mergeCell ref="Y216:Y216"/>
    <mergeCell ref="Z216:Z216"/>
    <mergeCell ref="AA216:AA216"/>
    <mergeCell ref="AB216:AB216"/>
    <mergeCell ref="AC216:AC216"/>
    <mergeCell ref="AD216:AD216"/>
    <mergeCell ref="AE216:AE216"/>
    <mergeCell ref="AF216:AF216"/>
    <mergeCell ref="A217:A217"/>
    <mergeCell ref="B217:B217"/>
    <mergeCell ref="C217:C217"/>
    <mergeCell ref="F217:F217"/>
    <mergeCell ref="G217:G217"/>
    <mergeCell ref="H217:H217"/>
    <mergeCell ref="M217:M217"/>
    <mergeCell ref="N217:N217"/>
    <mergeCell ref="O217:O217"/>
    <mergeCell ref="P217:P217"/>
    <mergeCell ref="Q217:Q217"/>
    <mergeCell ref="R217:R217"/>
    <mergeCell ref="S217:S217"/>
    <mergeCell ref="X217:X217"/>
    <mergeCell ref="Y217:Y217"/>
    <mergeCell ref="Z217:Z217"/>
    <mergeCell ref="AA217:AA217"/>
    <mergeCell ref="AB217:AB217"/>
    <mergeCell ref="AC217:AC217"/>
    <mergeCell ref="AD217:AD217"/>
    <mergeCell ref="AE217:AE217"/>
    <mergeCell ref="AF217:AF217"/>
    <mergeCell ref="A218:A218"/>
    <mergeCell ref="B218:B218"/>
    <mergeCell ref="C218:C218"/>
    <mergeCell ref="F218:F218"/>
    <mergeCell ref="G218:G218"/>
    <mergeCell ref="H218:H218"/>
    <mergeCell ref="M218:M218"/>
    <mergeCell ref="N218:N218"/>
    <mergeCell ref="O218:O218"/>
    <mergeCell ref="P218:P218"/>
    <mergeCell ref="Q218:Q218"/>
    <mergeCell ref="R218:R218"/>
    <mergeCell ref="S218:S218"/>
    <mergeCell ref="X218:X218"/>
    <mergeCell ref="Y218:Y218"/>
    <mergeCell ref="Z218:Z218"/>
    <mergeCell ref="AA218:AA218"/>
    <mergeCell ref="AB218:AB218"/>
    <mergeCell ref="AC218:AC218"/>
    <mergeCell ref="AD218:AD218"/>
    <mergeCell ref="AE218:AE218"/>
    <mergeCell ref="AF218:AF218"/>
    <mergeCell ref="A219:A219"/>
    <mergeCell ref="B219:B219"/>
    <mergeCell ref="C219:C219"/>
    <mergeCell ref="F219:F219"/>
    <mergeCell ref="G219:G219"/>
    <mergeCell ref="H219:H219"/>
    <mergeCell ref="M219:M219"/>
    <mergeCell ref="N219:N219"/>
    <mergeCell ref="O219:O219"/>
    <mergeCell ref="P219:P219"/>
    <mergeCell ref="Q219:Q219"/>
    <mergeCell ref="R219:R219"/>
    <mergeCell ref="S219:S219"/>
    <mergeCell ref="X219:X219"/>
    <mergeCell ref="Y219:Y219"/>
    <mergeCell ref="Z219:Z219"/>
    <mergeCell ref="AA219:AA219"/>
    <mergeCell ref="AB219:AB219"/>
    <mergeCell ref="AC219:AC219"/>
    <mergeCell ref="AD219:AD219"/>
    <mergeCell ref="AE219:AE219"/>
    <mergeCell ref="AF219:AF219"/>
    <mergeCell ref="A220:A220"/>
    <mergeCell ref="B220:B220"/>
    <mergeCell ref="C220:C220"/>
    <mergeCell ref="F220:F220"/>
    <mergeCell ref="G220:G220"/>
    <mergeCell ref="H220:H220"/>
    <mergeCell ref="M220:M220"/>
    <mergeCell ref="N220:N220"/>
    <mergeCell ref="O220:O220"/>
    <mergeCell ref="P220:P220"/>
    <mergeCell ref="Q220:Q220"/>
    <mergeCell ref="R220:R220"/>
    <mergeCell ref="S220:S220"/>
    <mergeCell ref="X220:X220"/>
    <mergeCell ref="Y220:Y220"/>
    <mergeCell ref="Z220:Z220"/>
    <mergeCell ref="AA220:AA220"/>
    <mergeCell ref="AB220:AB220"/>
    <mergeCell ref="AC220:AC220"/>
    <mergeCell ref="AD220:AD220"/>
    <mergeCell ref="AE220:AE220"/>
    <mergeCell ref="AF220:AF220"/>
    <mergeCell ref="A221:A221"/>
    <mergeCell ref="B221:B221"/>
    <mergeCell ref="C221:C221"/>
    <mergeCell ref="F221:F221"/>
    <mergeCell ref="G221:G221"/>
    <mergeCell ref="H221:H221"/>
    <mergeCell ref="M221:M221"/>
    <mergeCell ref="N221:N221"/>
    <mergeCell ref="O221:O221"/>
    <mergeCell ref="P221:P221"/>
    <mergeCell ref="Q221:Q221"/>
    <mergeCell ref="R221:R221"/>
    <mergeCell ref="S221:S221"/>
    <mergeCell ref="X221:X221"/>
    <mergeCell ref="Y221:Y221"/>
    <mergeCell ref="Z221:Z221"/>
    <mergeCell ref="AA221:AA221"/>
    <mergeCell ref="AB221:AB221"/>
    <mergeCell ref="AC221:AC221"/>
    <mergeCell ref="AD221:AD221"/>
    <mergeCell ref="AE221:AE221"/>
    <mergeCell ref="AF221:AF221"/>
    <mergeCell ref="A222:A222"/>
    <mergeCell ref="B222:B222"/>
    <mergeCell ref="C222:C222"/>
    <mergeCell ref="F222:F222"/>
    <mergeCell ref="G222:G222"/>
    <mergeCell ref="H222:H222"/>
    <mergeCell ref="M222:M222"/>
    <mergeCell ref="N222:N222"/>
    <mergeCell ref="O222:O222"/>
    <mergeCell ref="P222:P222"/>
    <mergeCell ref="Q222:Q222"/>
    <mergeCell ref="R222:R222"/>
    <mergeCell ref="S222:S222"/>
    <mergeCell ref="X222:X222"/>
    <mergeCell ref="Y222:Y222"/>
    <mergeCell ref="Z222:Z222"/>
    <mergeCell ref="AA222:AA222"/>
    <mergeCell ref="AB222:AB222"/>
    <mergeCell ref="AC222:AC222"/>
    <mergeCell ref="AD222:AD222"/>
    <mergeCell ref="AE222:AE222"/>
    <mergeCell ref="AF222:AF222"/>
    <mergeCell ref="A223:A223"/>
    <mergeCell ref="B223:B223"/>
    <mergeCell ref="C223:C223"/>
    <mergeCell ref="F223:F223"/>
    <mergeCell ref="G223:G223"/>
    <mergeCell ref="H223:H223"/>
    <mergeCell ref="M223:M223"/>
    <mergeCell ref="N223:N223"/>
    <mergeCell ref="O223:O223"/>
    <mergeCell ref="P223:P223"/>
    <mergeCell ref="Q223:Q223"/>
    <mergeCell ref="R223:R223"/>
    <mergeCell ref="S223:S223"/>
    <mergeCell ref="X223:X223"/>
    <mergeCell ref="Y223:Y223"/>
    <mergeCell ref="Z223:Z223"/>
    <mergeCell ref="AA223:AA223"/>
    <mergeCell ref="AB223:AB223"/>
    <mergeCell ref="AC223:AC223"/>
    <mergeCell ref="AD223:AD223"/>
    <mergeCell ref="AE223:AE223"/>
    <mergeCell ref="AF223:AF223"/>
    <mergeCell ref="A224:A224"/>
    <mergeCell ref="B224:B224"/>
    <mergeCell ref="C224:C224"/>
    <mergeCell ref="F224:F224"/>
    <mergeCell ref="G224:G224"/>
    <mergeCell ref="H224:H224"/>
    <mergeCell ref="M224:M224"/>
    <mergeCell ref="N224:N224"/>
    <mergeCell ref="O224:O224"/>
    <mergeCell ref="P224:P224"/>
    <mergeCell ref="Q224:Q224"/>
    <mergeCell ref="R224:R224"/>
    <mergeCell ref="S224:S224"/>
    <mergeCell ref="X224:X224"/>
    <mergeCell ref="Y224:Y224"/>
    <mergeCell ref="Z224:Z224"/>
    <mergeCell ref="AA224:AA224"/>
    <mergeCell ref="AB224:AB224"/>
    <mergeCell ref="AC224:AC224"/>
    <mergeCell ref="AD224:AD224"/>
    <mergeCell ref="AE224:AE224"/>
    <mergeCell ref="AF224:AF224"/>
    <mergeCell ref="A225:A225"/>
    <mergeCell ref="B225:B225"/>
    <mergeCell ref="C225:C225"/>
    <mergeCell ref="F225:F225"/>
    <mergeCell ref="G225:G225"/>
    <mergeCell ref="H225:H225"/>
    <mergeCell ref="M225:M225"/>
    <mergeCell ref="N225:N225"/>
    <mergeCell ref="O225:O225"/>
    <mergeCell ref="P225:P225"/>
    <mergeCell ref="Q225:Q225"/>
    <mergeCell ref="R225:R225"/>
    <mergeCell ref="S225:S225"/>
    <mergeCell ref="X225:X225"/>
    <mergeCell ref="Y225:Y225"/>
    <mergeCell ref="Z225:Z225"/>
    <mergeCell ref="AA225:AA225"/>
    <mergeCell ref="AB225:AB225"/>
    <mergeCell ref="AC225:AC225"/>
    <mergeCell ref="AD225:AD225"/>
    <mergeCell ref="AE225:AE225"/>
    <mergeCell ref="AF225:AF225"/>
    <mergeCell ref="A226:A226"/>
    <mergeCell ref="B226:B226"/>
    <mergeCell ref="C226:C226"/>
    <mergeCell ref="F226:F226"/>
    <mergeCell ref="G226:G226"/>
    <mergeCell ref="H226:H226"/>
    <mergeCell ref="M226:M226"/>
    <mergeCell ref="N226:N226"/>
    <mergeCell ref="O226:O226"/>
    <mergeCell ref="P226:P226"/>
    <mergeCell ref="Q226:Q226"/>
    <mergeCell ref="R226:R226"/>
    <mergeCell ref="S226:S226"/>
    <mergeCell ref="X226:X226"/>
    <mergeCell ref="Y226:Y226"/>
    <mergeCell ref="Z226:Z226"/>
    <mergeCell ref="AA226:AA226"/>
    <mergeCell ref="AB226:AB226"/>
    <mergeCell ref="AC226:AC226"/>
    <mergeCell ref="AD226:AD226"/>
    <mergeCell ref="AE226:AE226"/>
    <mergeCell ref="AF226:AF226"/>
    <mergeCell ref="A227:A227"/>
    <mergeCell ref="B227:B227"/>
    <mergeCell ref="C227:C227"/>
    <mergeCell ref="F227:F227"/>
    <mergeCell ref="G227:G227"/>
    <mergeCell ref="H227:H227"/>
    <mergeCell ref="M227:M227"/>
    <mergeCell ref="N227:N227"/>
    <mergeCell ref="O227:O227"/>
    <mergeCell ref="P227:P227"/>
    <mergeCell ref="Q227:Q227"/>
    <mergeCell ref="R227:R227"/>
    <mergeCell ref="S227:S227"/>
    <mergeCell ref="X227:X227"/>
    <mergeCell ref="Y227:Y227"/>
    <mergeCell ref="Z227:Z227"/>
    <mergeCell ref="AA227:AA227"/>
    <mergeCell ref="AB227:AB227"/>
    <mergeCell ref="AC227:AC227"/>
    <mergeCell ref="AD227:AD227"/>
    <mergeCell ref="AE227:AE227"/>
    <mergeCell ref="AF227:AF227"/>
    <mergeCell ref="A228:A228"/>
    <mergeCell ref="B228:B228"/>
    <mergeCell ref="C228:C228"/>
    <mergeCell ref="F228:F228"/>
    <mergeCell ref="G228:G228"/>
    <mergeCell ref="H228:H228"/>
    <mergeCell ref="M228:M228"/>
    <mergeCell ref="N228:N228"/>
    <mergeCell ref="O228:O228"/>
    <mergeCell ref="P228:P228"/>
    <mergeCell ref="Q228:Q228"/>
    <mergeCell ref="R228:R228"/>
    <mergeCell ref="S228:S228"/>
    <mergeCell ref="X228:X228"/>
    <mergeCell ref="Y228:Y228"/>
    <mergeCell ref="Z228:Z228"/>
    <mergeCell ref="AA228:AA228"/>
    <mergeCell ref="AB228:AB228"/>
    <mergeCell ref="AC228:AC228"/>
    <mergeCell ref="AD228:AD228"/>
    <mergeCell ref="AE228:AE228"/>
    <mergeCell ref="AF228:AF228"/>
    <mergeCell ref="A229:A229"/>
    <mergeCell ref="B229:B229"/>
    <mergeCell ref="C229:C229"/>
    <mergeCell ref="F229:F229"/>
    <mergeCell ref="G229:G229"/>
    <mergeCell ref="H229:H229"/>
    <mergeCell ref="M229:M229"/>
    <mergeCell ref="N229:N229"/>
    <mergeCell ref="O229:O229"/>
    <mergeCell ref="P229:P229"/>
    <mergeCell ref="Q229:Q229"/>
    <mergeCell ref="R229:R229"/>
    <mergeCell ref="S229:S229"/>
    <mergeCell ref="X229:X229"/>
    <mergeCell ref="Y229:Y229"/>
    <mergeCell ref="Z229:Z229"/>
    <mergeCell ref="AA229:AA229"/>
    <mergeCell ref="AB229:AB229"/>
    <mergeCell ref="AC229:AC229"/>
    <mergeCell ref="AD229:AD229"/>
    <mergeCell ref="AE229:AE229"/>
    <mergeCell ref="AF229:AF229"/>
    <mergeCell ref="A230:A230"/>
    <mergeCell ref="B230:B230"/>
    <mergeCell ref="C230:C230"/>
    <mergeCell ref="F230:F230"/>
    <mergeCell ref="G230:G230"/>
    <mergeCell ref="H230:H230"/>
    <mergeCell ref="M230:M230"/>
    <mergeCell ref="N230:N230"/>
    <mergeCell ref="O230:O230"/>
    <mergeCell ref="P230:P230"/>
    <mergeCell ref="Q230:Q230"/>
    <mergeCell ref="R230:R230"/>
    <mergeCell ref="S230:S230"/>
    <mergeCell ref="X230:X230"/>
    <mergeCell ref="Y230:Y230"/>
    <mergeCell ref="Z230:Z230"/>
    <mergeCell ref="AA230:AA230"/>
    <mergeCell ref="AB230:AB230"/>
    <mergeCell ref="AC230:AC230"/>
    <mergeCell ref="AD230:AD230"/>
    <mergeCell ref="AE230:AE230"/>
    <mergeCell ref="AF230:AF230"/>
    <mergeCell ref="A231:A231"/>
    <mergeCell ref="B231:B231"/>
    <mergeCell ref="C231:C231"/>
    <mergeCell ref="F231:F231"/>
    <mergeCell ref="G231:G231"/>
    <mergeCell ref="H231:H231"/>
    <mergeCell ref="M231:M231"/>
    <mergeCell ref="N231:N231"/>
    <mergeCell ref="O231:O231"/>
    <mergeCell ref="P231:P231"/>
    <mergeCell ref="Q231:Q231"/>
    <mergeCell ref="R231:R231"/>
    <mergeCell ref="S231:S231"/>
    <mergeCell ref="X231:X231"/>
    <mergeCell ref="Y231:Y231"/>
    <mergeCell ref="Z231:Z231"/>
    <mergeCell ref="AA231:AA231"/>
    <mergeCell ref="AB231:AB231"/>
    <mergeCell ref="AC231:AC231"/>
    <mergeCell ref="AD231:AD231"/>
    <mergeCell ref="AE231:AE231"/>
    <mergeCell ref="AF231:AF231"/>
    <mergeCell ref="A232:A232"/>
    <mergeCell ref="B232:B232"/>
    <mergeCell ref="C232:C232"/>
    <mergeCell ref="F232:F232"/>
    <mergeCell ref="G232:G232"/>
    <mergeCell ref="H232:H232"/>
    <mergeCell ref="M232:M232"/>
    <mergeCell ref="N232:N232"/>
    <mergeCell ref="O232:O232"/>
    <mergeCell ref="P232:P232"/>
    <mergeCell ref="Q232:Q232"/>
    <mergeCell ref="R232:R232"/>
    <mergeCell ref="S232:S232"/>
    <mergeCell ref="X232:X232"/>
    <mergeCell ref="Y232:Y232"/>
    <mergeCell ref="Z232:Z232"/>
    <mergeCell ref="AA232:AA232"/>
    <mergeCell ref="AB232:AB232"/>
    <mergeCell ref="AC232:AC232"/>
    <mergeCell ref="AD232:AD232"/>
    <mergeCell ref="AE232:AE232"/>
    <mergeCell ref="AF232:AF232"/>
    <mergeCell ref="A233:A233"/>
    <mergeCell ref="B233:B233"/>
    <mergeCell ref="C233:C233"/>
    <mergeCell ref="F233:F233"/>
    <mergeCell ref="G233:G233"/>
    <mergeCell ref="H233:H233"/>
    <mergeCell ref="M233:M233"/>
    <mergeCell ref="N233:N233"/>
    <mergeCell ref="O233:O233"/>
    <mergeCell ref="P233:P233"/>
    <mergeCell ref="Q233:Q233"/>
    <mergeCell ref="R233:R233"/>
    <mergeCell ref="S233:S233"/>
    <mergeCell ref="X233:X233"/>
    <mergeCell ref="Y233:Y233"/>
    <mergeCell ref="Z233:Z233"/>
    <mergeCell ref="AA233:AA233"/>
    <mergeCell ref="AB233:AB233"/>
    <mergeCell ref="AC233:AC233"/>
    <mergeCell ref="AD233:AD233"/>
    <mergeCell ref="AE233:AE233"/>
    <mergeCell ref="AF233:AF233"/>
    <mergeCell ref="A234:A234"/>
    <mergeCell ref="B234:B234"/>
    <mergeCell ref="C234:C234"/>
    <mergeCell ref="F234:F234"/>
    <mergeCell ref="G234:G234"/>
    <mergeCell ref="H234:H234"/>
    <mergeCell ref="M234:M234"/>
    <mergeCell ref="N234:N234"/>
    <mergeCell ref="O234:O234"/>
    <mergeCell ref="P234:P234"/>
    <mergeCell ref="Q234:Q234"/>
    <mergeCell ref="R234:R234"/>
    <mergeCell ref="S234:S234"/>
    <mergeCell ref="X234:X234"/>
    <mergeCell ref="Y234:Y234"/>
    <mergeCell ref="Z234:Z234"/>
    <mergeCell ref="AA234:AA234"/>
    <mergeCell ref="AB234:AB234"/>
    <mergeCell ref="AC234:AC234"/>
    <mergeCell ref="AD234:AD234"/>
    <mergeCell ref="AE234:AE234"/>
    <mergeCell ref="AF234:AF234"/>
    <mergeCell ref="A235:A235"/>
    <mergeCell ref="B235:B235"/>
    <mergeCell ref="C235:C235"/>
    <mergeCell ref="F235:F235"/>
    <mergeCell ref="G235:G235"/>
    <mergeCell ref="H235:H235"/>
    <mergeCell ref="M235:M235"/>
    <mergeCell ref="N235:N235"/>
    <mergeCell ref="O235:O235"/>
    <mergeCell ref="P235:P235"/>
    <mergeCell ref="Q235:Q235"/>
    <mergeCell ref="R235:R235"/>
    <mergeCell ref="S235:S235"/>
    <mergeCell ref="X235:X235"/>
    <mergeCell ref="Y235:Y235"/>
    <mergeCell ref="Z235:Z235"/>
    <mergeCell ref="AA235:AA235"/>
    <mergeCell ref="AB235:AB235"/>
    <mergeCell ref="AC235:AC235"/>
    <mergeCell ref="AD235:AD235"/>
    <mergeCell ref="AE235:AE235"/>
    <mergeCell ref="AF235:AF235"/>
    <mergeCell ref="A236:A236"/>
    <mergeCell ref="B236:B236"/>
    <mergeCell ref="C236:C236"/>
    <mergeCell ref="F236:F236"/>
    <mergeCell ref="G236:G236"/>
    <mergeCell ref="H236:H236"/>
    <mergeCell ref="M236:M236"/>
    <mergeCell ref="N236:N236"/>
    <mergeCell ref="O236:O236"/>
    <mergeCell ref="P236:P236"/>
    <mergeCell ref="Q236:Q236"/>
    <mergeCell ref="R236:R236"/>
    <mergeCell ref="S236:S236"/>
    <mergeCell ref="X236:X236"/>
    <mergeCell ref="Y236:Y236"/>
    <mergeCell ref="Z236:Z236"/>
    <mergeCell ref="AA236:AA236"/>
    <mergeCell ref="AB236:AB236"/>
    <mergeCell ref="AC236:AC236"/>
    <mergeCell ref="AD236:AD236"/>
    <mergeCell ref="AE236:AE236"/>
    <mergeCell ref="AF236:AF236"/>
    <mergeCell ref="A237:A237"/>
    <mergeCell ref="B237:B237"/>
    <mergeCell ref="C237:C237"/>
    <mergeCell ref="F237:F237"/>
    <mergeCell ref="G237:G237"/>
    <mergeCell ref="H237:H237"/>
    <mergeCell ref="M237:M237"/>
    <mergeCell ref="N237:N237"/>
    <mergeCell ref="O237:O237"/>
    <mergeCell ref="P237:P237"/>
    <mergeCell ref="Q237:Q237"/>
    <mergeCell ref="R237:R237"/>
    <mergeCell ref="S237:S237"/>
    <mergeCell ref="X237:X237"/>
    <mergeCell ref="Y237:Y237"/>
    <mergeCell ref="Z237:Z237"/>
    <mergeCell ref="AA237:AA237"/>
    <mergeCell ref="AB237:AB237"/>
    <mergeCell ref="AC237:AC237"/>
    <mergeCell ref="AD237:AD237"/>
    <mergeCell ref="AE237:AE237"/>
    <mergeCell ref="AF237:AF237"/>
    <mergeCell ref="A238:A238"/>
    <mergeCell ref="B238:B238"/>
    <mergeCell ref="C238:C238"/>
    <mergeCell ref="F238:F238"/>
    <mergeCell ref="G238:G238"/>
    <mergeCell ref="H238:H238"/>
    <mergeCell ref="M238:M238"/>
    <mergeCell ref="N238:N238"/>
    <mergeCell ref="O238:O238"/>
    <mergeCell ref="P238:P238"/>
    <mergeCell ref="Q238:Q238"/>
    <mergeCell ref="R238:R238"/>
    <mergeCell ref="S238:S238"/>
    <mergeCell ref="X238:X238"/>
    <mergeCell ref="Y238:Y238"/>
    <mergeCell ref="Z238:Z238"/>
    <mergeCell ref="AA238:AA238"/>
    <mergeCell ref="AB238:AB238"/>
    <mergeCell ref="AC238:AC238"/>
    <mergeCell ref="AD238:AD238"/>
    <mergeCell ref="AE238:AE238"/>
    <mergeCell ref="AF238:AF238"/>
    <mergeCell ref="A239:A239"/>
    <mergeCell ref="B239:B239"/>
    <mergeCell ref="C239:C239"/>
    <mergeCell ref="F239:F239"/>
    <mergeCell ref="G239:G239"/>
    <mergeCell ref="H239:H239"/>
    <mergeCell ref="M239:M239"/>
    <mergeCell ref="N239:N239"/>
    <mergeCell ref="O239:O239"/>
    <mergeCell ref="P239:P239"/>
    <mergeCell ref="Q239:Q239"/>
    <mergeCell ref="R239:R239"/>
    <mergeCell ref="S239:S239"/>
    <mergeCell ref="X239:X239"/>
    <mergeCell ref="Y239:Y239"/>
    <mergeCell ref="Z239:Z239"/>
    <mergeCell ref="AA239:AA239"/>
    <mergeCell ref="AB239:AB239"/>
    <mergeCell ref="AC239:AC239"/>
    <mergeCell ref="AD239:AD239"/>
    <mergeCell ref="AE239:AE239"/>
    <mergeCell ref="AF239:AF239"/>
    <mergeCell ref="A240:A240"/>
    <mergeCell ref="B240:B240"/>
    <mergeCell ref="C240:C240"/>
    <mergeCell ref="F240:F240"/>
    <mergeCell ref="G240:G240"/>
    <mergeCell ref="H240:H240"/>
    <mergeCell ref="M240:M240"/>
    <mergeCell ref="N240:N240"/>
    <mergeCell ref="O240:O240"/>
    <mergeCell ref="P240:P240"/>
    <mergeCell ref="Q240:Q240"/>
    <mergeCell ref="R240:R240"/>
    <mergeCell ref="S240:S240"/>
    <mergeCell ref="X240:X240"/>
    <mergeCell ref="Y240:Y240"/>
    <mergeCell ref="Z240:Z240"/>
    <mergeCell ref="AA240:AA240"/>
    <mergeCell ref="AB240:AB240"/>
    <mergeCell ref="AC240:AC240"/>
    <mergeCell ref="AD240:AD240"/>
    <mergeCell ref="AE240:AE240"/>
    <mergeCell ref="AF240:AF240"/>
    <mergeCell ref="A241:A241"/>
    <mergeCell ref="B241:B241"/>
    <mergeCell ref="C241:C241"/>
    <mergeCell ref="F241:F241"/>
    <mergeCell ref="G241:G241"/>
    <mergeCell ref="H241:H241"/>
    <mergeCell ref="M241:M241"/>
    <mergeCell ref="N241:N241"/>
    <mergeCell ref="O241:O241"/>
    <mergeCell ref="P241:P241"/>
    <mergeCell ref="Q241:Q241"/>
    <mergeCell ref="R241:R241"/>
    <mergeCell ref="S241:S241"/>
    <mergeCell ref="X241:X241"/>
    <mergeCell ref="Y241:Y241"/>
    <mergeCell ref="Z241:Z241"/>
    <mergeCell ref="AA241:AA241"/>
    <mergeCell ref="AB241:AB241"/>
    <mergeCell ref="AC241:AC241"/>
    <mergeCell ref="AD241:AD241"/>
    <mergeCell ref="AE241:AE241"/>
    <mergeCell ref="AF241:AF241"/>
    <mergeCell ref="A242:A242"/>
    <mergeCell ref="B242:B242"/>
    <mergeCell ref="C242:C242"/>
    <mergeCell ref="F242:F242"/>
    <mergeCell ref="G242:G242"/>
    <mergeCell ref="H242:H242"/>
    <mergeCell ref="M242:M242"/>
    <mergeCell ref="N242:N242"/>
    <mergeCell ref="O242:O242"/>
    <mergeCell ref="P242:P242"/>
    <mergeCell ref="Q242:Q242"/>
    <mergeCell ref="R242:R242"/>
    <mergeCell ref="S242:S242"/>
    <mergeCell ref="X242:X242"/>
    <mergeCell ref="Y242:Y242"/>
    <mergeCell ref="Z242:Z242"/>
    <mergeCell ref="AA242:AA242"/>
    <mergeCell ref="AB242:AB242"/>
    <mergeCell ref="AC242:AC242"/>
    <mergeCell ref="AD242:AD242"/>
    <mergeCell ref="AE242:AE242"/>
    <mergeCell ref="AF242:AF242"/>
    <mergeCell ref="A243:A243"/>
    <mergeCell ref="B243:B243"/>
    <mergeCell ref="C243:C243"/>
    <mergeCell ref="F243:F243"/>
    <mergeCell ref="G243:G243"/>
    <mergeCell ref="H243:H243"/>
    <mergeCell ref="M243:M243"/>
    <mergeCell ref="N243:N243"/>
    <mergeCell ref="O243:O243"/>
    <mergeCell ref="P243:P243"/>
    <mergeCell ref="Q243:Q243"/>
    <mergeCell ref="R243:R243"/>
    <mergeCell ref="S243:S243"/>
    <mergeCell ref="X243:X243"/>
    <mergeCell ref="Y243:Y243"/>
    <mergeCell ref="Z243:Z243"/>
    <mergeCell ref="AA243:AA243"/>
    <mergeCell ref="AB243:AB243"/>
    <mergeCell ref="AC243:AC243"/>
    <mergeCell ref="AD243:AD243"/>
    <mergeCell ref="AE243:AE243"/>
    <mergeCell ref="AF243:AF243"/>
    <mergeCell ref="A244:A244"/>
    <mergeCell ref="B244:B244"/>
    <mergeCell ref="C244:C244"/>
    <mergeCell ref="F244:F244"/>
    <mergeCell ref="G244:G244"/>
    <mergeCell ref="H244:H244"/>
    <mergeCell ref="M244:M244"/>
    <mergeCell ref="N244:N244"/>
    <mergeCell ref="O244:O244"/>
    <mergeCell ref="P244:P244"/>
    <mergeCell ref="Q244:Q244"/>
    <mergeCell ref="R244:R244"/>
    <mergeCell ref="S244:S244"/>
    <mergeCell ref="X244:X244"/>
    <mergeCell ref="Y244:Y244"/>
    <mergeCell ref="Z244:Z244"/>
    <mergeCell ref="AA244:AA244"/>
    <mergeCell ref="AB244:AB244"/>
    <mergeCell ref="AC244:AC244"/>
    <mergeCell ref="AD244:AD244"/>
    <mergeCell ref="AE244:AE244"/>
    <mergeCell ref="AF244:AF244"/>
    <mergeCell ref="A245:A245"/>
    <mergeCell ref="B245:B245"/>
    <mergeCell ref="C245:C245"/>
    <mergeCell ref="F245:F245"/>
    <mergeCell ref="G245:G245"/>
    <mergeCell ref="H245:H245"/>
    <mergeCell ref="M245:M245"/>
    <mergeCell ref="N245:N245"/>
    <mergeCell ref="O245:O245"/>
    <mergeCell ref="P245:P245"/>
    <mergeCell ref="Q245:Q245"/>
    <mergeCell ref="R245:R245"/>
    <mergeCell ref="S245:S245"/>
    <mergeCell ref="X245:X245"/>
    <mergeCell ref="Y245:Y245"/>
    <mergeCell ref="Z245:Z245"/>
    <mergeCell ref="AA245:AA245"/>
    <mergeCell ref="AB245:AB245"/>
    <mergeCell ref="AC245:AC245"/>
    <mergeCell ref="AD245:AD245"/>
    <mergeCell ref="AE245:AE245"/>
    <mergeCell ref="AF245:AF245"/>
    <mergeCell ref="A246:A246"/>
    <mergeCell ref="B246:B246"/>
    <mergeCell ref="C246:C246"/>
    <mergeCell ref="F246:F246"/>
    <mergeCell ref="G246:G246"/>
    <mergeCell ref="H246:H246"/>
    <mergeCell ref="M246:M246"/>
    <mergeCell ref="N246:N246"/>
    <mergeCell ref="O246:O246"/>
    <mergeCell ref="P246:P246"/>
    <mergeCell ref="Q246:Q246"/>
    <mergeCell ref="R246:R246"/>
    <mergeCell ref="S246:S246"/>
    <mergeCell ref="X246:X246"/>
    <mergeCell ref="Y246:Y246"/>
    <mergeCell ref="Z246:Z246"/>
    <mergeCell ref="AA246:AA246"/>
    <mergeCell ref="AB246:AB246"/>
    <mergeCell ref="AC246:AC246"/>
    <mergeCell ref="AD246:AD246"/>
    <mergeCell ref="AE246:AE246"/>
    <mergeCell ref="AF246:AF246"/>
    <mergeCell ref="A247:A247"/>
    <mergeCell ref="B247:B247"/>
    <mergeCell ref="C247:C247"/>
    <mergeCell ref="F247:F247"/>
    <mergeCell ref="G247:G247"/>
    <mergeCell ref="H247:H247"/>
    <mergeCell ref="M247:M247"/>
    <mergeCell ref="N247:N247"/>
    <mergeCell ref="O247:O247"/>
    <mergeCell ref="P247:P247"/>
    <mergeCell ref="Q247:Q247"/>
    <mergeCell ref="R247:R247"/>
    <mergeCell ref="S247:S247"/>
    <mergeCell ref="X247:X247"/>
    <mergeCell ref="Y247:Y247"/>
    <mergeCell ref="Z247:Z247"/>
    <mergeCell ref="AA247:AA247"/>
    <mergeCell ref="AB247:AB247"/>
    <mergeCell ref="AC247:AC247"/>
    <mergeCell ref="AD247:AD247"/>
    <mergeCell ref="AE247:AE247"/>
    <mergeCell ref="AF247:AF247"/>
    <mergeCell ref="A248:A248"/>
    <mergeCell ref="B248:B248"/>
    <mergeCell ref="C248:C248"/>
    <mergeCell ref="F248:F248"/>
    <mergeCell ref="G248:G248"/>
    <mergeCell ref="H248:H248"/>
    <mergeCell ref="M248:M248"/>
    <mergeCell ref="N248:N248"/>
    <mergeCell ref="O248:O248"/>
    <mergeCell ref="P248:P248"/>
    <mergeCell ref="Q248:Q248"/>
    <mergeCell ref="R248:R248"/>
    <mergeCell ref="S248:S248"/>
    <mergeCell ref="X248:X248"/>
    <mergeCell ref="Y248:Y248"/>
    <mergeCell ref="Z248:Z248"/>
    <mergeCell ref="AA248:AA248"/>
    <mergeCell ref="AB248:AB248"/>
    <mergeCell ref="AC248:AC248"/>
    <mergeCell ref="AD248:AD248"/>
    <mergeCell ref="AE248:AE248"/>
    <mergeCell ref="AF248:AF248"/>
    <mergeCell ref="A249:A249"/>
    <mergeCell ref="B249:B249"/>
    <mergeCell ref="C249:C249"/>
    <mergeCell ref="F249:F249"/>
    <mergeCell ref="G249:G249"/>
    <mergeCell ref="H249:H249"/>
    <mergeCell ref="M249:M249"/>
    <mergeCell ref="N249:N249"/>
    <mergeCell ref="O249:O249"/>
    <mergeCell ref="P249:P249"/>
    <mergeCell ref="Q249:Q249"/>
    <mergeCell ref="R249:R249"/>
    <mergeCell ref="S249:S249"/>
    <mergeCell ref="X249:X249"/>
    <mergeCell ref="Y249:Y249"/>
    <mergeCell ref="Z249:Z249"/>
    <mergeCell ref="AA249:AA249"/>
    <mergeCell ref="AB249:AB249"/>
    <mergeCell ref="AC249:AC249"/>
    <mergeCell ref="AD249:AD249"/>
    <mergeCell ref="AE249:AE249"/>
    <mergeCell ref="AF249:AF249"/>
    <mergeCell ref="A250:A250"/>
    <mergeCell ref="B250:B250"/>
    <mergeCell ref="C250:C250"/>
    <mergeCell ref="F250:F250"/>
    <mergeCell ref="G250:G250"/>
    <mergeCell ref="H250:H250"/>
    <mergeCell ref="M250:M250"/>
    <mergeCell ref="N250:N250"/>
    <mergeCell ref="O250:O250"/>
    <mergeCell ref="P250:P250"/>
    <mergeCell ref="Q250:Q250"/>
    <mergeCell ref="R250:R250"/>
    <mergeCell ref="S250:S250"/>
    <mergeCell ref="X250:X250"/>
    <mergeCell ref="Y250:Y250"/>
    <mergeCell ref="Z250:Z250"/>
    <mergeCell ref="AA250:AA250"/>
    <mergeCell ref="AB250:AB250"/>
    <mergeCell ref="AC250:AC250"/>
    <mergeCell ref="AD250:AD250"/>
    <mergeCell ref="AE250:AE250"/>
    <mergeCell ref="AF250:AF250"/>
    <mergeCell ref="A251:A251"/>
    <mergeCell ref="B251:B251"/>
    <mergeCell ref="C251:C251"/>
    <mergeCell ref="F251:F251"/>
    <mergeCell ref="G251:G251"/>
    <mergeCell ref="H251:H251"/>
    <mergeCell ref="M251:M251"/>
    <mergeCell ref="N251:N251"/>
    <mergeCell ref="O251:O251"/>
    <mergeCell ref="P251:P251"/>
    <mergeCell ref="Q251:Q251"/>
    <mergeCell ref="R251:R251"/>
    <mergeCell ref="S251:S251"/>
    <mergeCell ref="X251:X251"/>
    <mergeCell ref="Y251:Y251"/>
    <mergeCell ref="Z251:Z251"/>
    <mergeCell ref="AA251:AA251"/>
    <mergeCell ref="AB251:AB251"/>
    <mergeCell ref="AC251:AC251"/>
    <mergeCell ref="AD251:AD251"/>
    <mergeCell ref="AE251:AE251"/>
    <mergeCell ref="AF251:AF251"/>
    <mergeCell ref="A252:A252"/>
    <mergeCell ref="B252:B252"/>
    <mergeCell ref="C252:C252"/>
    <mergeCell ref="F252:F252"/>
    <mergeCell ref="G252:G252"/>
    <mergeCell ref="H252:H252"/>
    <mergeCell ref="M252:M252"/>
    <mergeCell ref="N252:N252"/>
    <mergeCell ref="O252:O252"/>
    <mergeCell ref="P252:P252"/>
    <mergeCell ref="Q252:Q252"/>
    <mergeCell ref="R252:R252"/>
    <mergeCell ref="S252:S252"/>
    <mergeCell ref="X252:X252"/>
    <mergeCell ref="Y252:Y252"/>
    <mergeCell ref="Z252:Z252"/>
    <mergeCell ref="AA252:AA252"/>
    <mergeCell ref="AB252:AB252"/>
    <mergeCell ref="AC252:AC252"/>
    <mergeCell ref="AD252:AD252"/>
    <mergeCell ref="AE252:AE252"/>
    <mergeCell ref="AF252:AF252"/>
    <mergeCell ref="A253:A253"/>
    <mergeCell ref="B253:B253"/>
    <mergeCell ref="C253:C253"/>
    <mergeCell ref="F253:F253"/>
    <mergeCell ref="G253:G253"/>
    <mergeCell ref="H253:H253"/>
    <mergeCell ref="M253:M253"/>
    <mergeCell ref="N253:N253"/>
    <mergeCell ref="O253:O253"/>
    <mergeCell ref="P253:P253"/>
    <mergeCell ref="Q253:Q253"/>
    <mergeCell ref="R253:R253"/>
    <mergeCell ref="S253:S253"/>
    <mergeCell ref="X253:X253"/>
    <mergeCell ref="Y253:Y253"/>
    <mergeCell ref="Z253:Z253"/>
    <mergeCell ref="AA253:AA253"/>
    <mergeCell ref="AB253:AB253"/>
    <mergeCell ref="AC253:AC253"/>
    <mergeCell ref="AD253:AD253"/>
    <mergeCell ref="AE253:AE253"/>
    <mergeCell ref="AF253:AF253"/>
    <mergeCell ref="A254:A254"/>
    <mergeCell ref="B254:B254"/>
    <mergeCell ref="C254:C254"/>
    <mergeCell ref="F254:F254"/>
    <mergeCell ref="G254:G254"/>
    <mergeCell ref="H254:H254"/>
    <mergeCell ref="M254:M254"/>
    <mergeCell ref="N254:N254"/>
    <mergeCell ref="O254:O254"/>
    <mergeCell ref="P254:P254"/>
    <mergeCell ref="Q254:Q254"/>
    <mergeCell ref="R254:R254"/>
    <mergeCell ref="S254:S254"/>
    <mergeCell ref="X254:X254"/>
    <mergeCell ref="Y254:Y254"/>
    <mergeCell ref="Z254:Z254"/>
    <mergeCell ref="AA254:AA254"/>
    <mergeCell ref="AB254:AB254"/>
    <mergeCell ref="AC254:AC254"/>
    <mergeCell ref="AD254:AD254"/>
    <mergeCell ref="AE254:AE254"/>
    <mergeCell ref="AF254:AF254"/>
    <mergeCell ref="A255:A255"/>
    <mergeCell ref="B255:B255"/>
    <mergeCell ref="C255:C255"/>
    <mergeCell ref="F255:F255"/>
    <mergeCell ref="G255:G255"/>
    <mergeCell ref="H255:H255"/>
    <mergeCell ref="M255:M255"/>
    <mergeCell ref="N255:N255"/>
    <mergeCell ref="O255:O255"/>
    <mergeCell ref="P255:P255"/>
    <mergeCell ref="Q255:Q255"/>
    <mergeCell ref="R255:R255"/>
    <mergeCell ref="S255:S255"/>
    <mergeCell ref="X255:X255"/>
    <mergeCell ref="Y255:Y255"/>
    <mergeCell ref="Z255:Z255"/>
    <mergeCell ref="AA255:AA255"/>
    <mergeCell ref="AB255:AB255"/>
    <mergeCell ref="AC255:AC255"/>
    <mergeCell ref="AD255:AD255"/>
    <mergeCell ref="AE255:AE255"/>
    <mergeCell ref="AF255:AF255"/>
    <mergeCell ref="A256:A256"/>
    <mergeCell ref="B256:B256"/>
    <mergeCell ref="C256:C256"/>
    <mergeCell ref="F256:F256"/>
    <mergeCell ref="G256:G256"/>
    <mergeCell ref="H256:H256"/>
    <mergeCell ref="M256:M256"/>
    <mergeCell ref="N256:N256"/>
    <mergeCell ref="O256:O256"/>
    <mergeCell ref="P256:P256"/>
    <mergeCell ref="Q256:Q256"/>
    <mergeCell ref="R256:R256"/>
    <mergeCell ref="S256:S256"/>
    <mergeCell ref="X256:X256"/>
    <mergeCell ref="Y256:Y256"/>
    <mergeCell ref="Z256:Z256"/>
    <mergeCell ref="AA256:AA256"/>
    <mergeCell ref="AB256:AB256"/>
    <mergeCell ref="AC256:AC256"/>
    <mergeCell ref="AD256:AD256"/>
    <mergeCell ref="AE256:AE256"/>
    <mergeCell ref="AF256:AF256"/>
    <mergeCell ref="A257:A257"/>
    <mergeCell ref="B257:B257"/>
    <mergeCell ref="C257:C257"/>
    <mergeCell ref="F257:F257"/>
    <mergeCell ref="G257:G257"/>
    <mergeCell ref="H257:H257"/>
    <mergeCell ref="M257:M257"/>
    <mergeCell ref="N257:N257"/>
    <mergeCell ref="O257:O257"/>
    <mergeCell ref="P257:P257"/>
    <mergeCell ref="Q257:Q257"/>
    <mergeCell ref="R257:R257"/>
    <mergeCell ref="S257:S257"/>
    <mergeCell ref="X257:X257"/>
    <mergeCell ref="Y257:Y257"/>
    <mergeCell ref="Z257:Z257"/>
    <mergeCell ref="AA257:AA257"/>
    <mergeCell ref="AB257:AB257"/>
    <mergeCell ref="AC257:AC257"/>
    <mergeCell ref="AD257:AD257"/>
    <mergeCell ref="AE257:AE257"/>
    <mergeCell ref="AF257:AF257"/>
    <mergeCell ref="A258:A258"/>
    <mergeCell ref="B258:B258"/>
    <mergeCell ref="C258:C258"/>
    <mergeCell ref="F258:F258"/>
    <mergeCell ref="G258:G258"/>
    <mergeCell ref="H258:H258"/>
    <mergeCell ref="M258:M258"/>
    <mergeCell ref="N258:N258"/>
    <mergeCell ref="O258:O258"/>
    <mergeCell ref="P258:P258"/>
    <mergeCell ref="Q258:Q258"/>
    <mergeCell ref="R258:R258"/>
    <mergeCell ref="S258:S258"/>
    <mergeCell ref="X258:X258"/>
    <mergeCell ref="Y258:Y258"/>
    <mergeCell ref="Z258:Z258"/>
    <mergeCell ref="AA258:AA258"/>
    <mergeCell ref="AB258:AB258"/>
    <mergeCell ref="AC258:AC258"/>
    <mergeCell ref="AD258:AD258"/>
    <mergeCell ref="AE258:AE258"/>
    <mergeCell ref="AF258:AF258"/>
    <mergeCell ref="A259:A259"/>
    <mergeCell ref="B259:B259"/>
    <mergeCell ref="C259:C259"/>
    <mergeCell ref="F259:F259"/>
    <mergeCell ref="G259:G259"/>
    <mergeCell ref="H259:H259"/>
    <mergeCell ref="M259:M259"/>
    <mergeCell ref="N259:N259"/>
    <mergeCell ref="O259:O259"/>
    <mergeCell ref="P259:P259"/>
    <mergeCell ref="Q259:Q259"/>
    <mergeCell ref="R259:R259"/>
    <mergeCell ref="S259:S259"/>
    <mergeCell ref="X259:X259"/>
    <mergeCell ref="Y259:Y259"/>
    <mergeCell ref="Z259:Z259"/>
    <mergeCell ref="AA259:AA259"/>
    <mergeCell ref="AB259:AB259"/>
    <mergeCell ref="AC259:AC259"/>
    <mergeCell ref="AD259:AD259"/>
    <mergeCell ref="AE259:AE259"/>
    <mergeCell ref="AF259:AF259"/>
    <mergeCell ref="A260:A260"/>
    <mergeCell ref="B260:B260"/>
    <mergeCell ref="C260:C260"/>
    <mergeCell ref="F260:F260"/>
    <mergeCell ref="G260:G260"/>
    <mergeCell ref="H260:H260"/>
    <mergeCell ref="M260:M260"/>
    <mergeCell ref="N260:N260"/>
    <mergeCell ref="O260:O260"/>
    <mergeCell ref="P260:P260"/>
    <mergeCell ref="Q260:Q260"/>
    <mergeCell ref="R260:R260"/>
    <mergeCell ref="S260:S260"/>
    <mergeCell ref="X260:X260"/>
    <mergeCell ref="Y260:Y260"/>
    <mergeCell ref="Z260:Z260"/>
    <mergeCell ref="AA260:AA260"/>
    <mergeCell ref="AB260:AB260"/>
    <mergeCell ref="AC260:AC260"/>
    <mergeCell ref="AD260:AD260"/>
    <mergeCell ref="AE260:AE260"/>
    <mergeCell ref="AF260:AF260"/>
    <mergeCell ref="A261:A261"/>
    <mergeCell ref="B261:B261"/>
    <mergeCell ref="C261:C261"/>
    <mergeCell ref="F261:F261"/>
    <mergeCell ref="G261:G261"/>
    <mergeCell ref="H261:H261"/>
    <mergeCell ref="M261:M261"/>
    <mergeCell ref="N261:N261"/>
    <mergeCell ref="O261:O261"/>
    <mergeCell ref="P261:P261"/>
    <mergeCell ref="Q261:Q261"/>
    <mergeCell ref="R261:R261"/>
    <mergeCell ref="S261:S261"/>
    <mergeCell ref="X261:X261"/>
    <mergeCell ref="Y261:Y261"/>
    <mergeCell ref="Z261:Z261"/>
    <mergeCell ref="AA261:AA261"/>
    <mergeCell ref="AB261:AB261"/>
    <mergeCell ref="AC261:AC261"/>
    <mergeCell ref="AD261:AD261"/>
    <mergeCell ref="AE261:AE261"/>
    <mergeCell ref="AF261:AF261"/>
    <mergeCell ref="A262:A262"/>
    <mergeCell ref="B262:B262"/>
    <mergeCell ref="C262:C262"/>
    <mergeCell ref="F262:F262"/>
    <mergeCell ref="G262:G262"/>
    <mergeCell ref="H262:H262"/>
    <mergeCell ref="M262:M262"/>
    <mergeCell ref="N262:N262"/>
    <mergeCell ref="O262:O262"/>
    <mergeCell ref="P262:P262"/>
    <mergeCell ref="Q262:Q262"/>
    <mergeCell ref="R262:R262"/>
    <mergeCell ref="S262:S262"/>
    <mergeCell ref="X262:X262"/>
    <mergeCell ref="Y262:Y262"/>
    <mergeCell ref="Z262:Z262"/>
    <mergeCell ref="AA262:AA262"/>
    <mergeCell ref="AB262:AB262"/>
    <mergeCell ref="AC262:AC262"/>
    <mergeCell ref="AD262:AD262"/>
    <mergeCell ref="AE262:AE262"/>
    <mergeCell ref="AF262:AF262"/>
    <mergeCell ref="A263:A263"/>
    <mergeCell ref="B263:B263"/>
    <mergeCell ref="C263:C263"/>
    <mergeCell ref="F263:F263"/>
    <mergeCell ref="G263:G263"/>
    <mergeCell ref="H263:H263"/>
    <mergeCell ref="M263:M263"/>
    <mergeCell ref="N263:N263"/>
    <mergeCell ref="O263:O263"/>
    <mergeCell ref="P263:P263"/>
    <mergeCell ref="Q263:Q263"/>
    <mergeCell ref="R263:R263"/>
    <mergeCell ref="S263:S263"/>
    <mergeCell ref="X263:X263"/>
    <mergeCell ref="Y263:Y263"/>
    <mergeCell ref="Z263:Z263"/>
    <mergeCell ref="AA263:AA263"/>
    <mergeCell ref="AB263:AB263"/>
    <mergeCell ref="AC263:AC263"/>
    <mergeCell ref="AD263:AD263"/>
    <mergeCell ref="AE263:AE263"/>
    <mergeCell ref="AF263:AF263"/>
    <mergeCell ref="A264:A264"/>
    <mergeCell ref="B264:B264"/>
    <mergeCell ref="C264:C264"/>
    <mergeCell ref="F264:F264"/>
    <mergeCell ref="G264:G264"/>
    <mergeCell ref="H264:H264"/>
    <mergeCell ref="M264:M264"/>
    <mergeCell ref="N264:N264"/>
    <mergeCell ref="O264:O264"/>
    <mergeCell ref="P264:P264"/>
    <mergeCell ref="Q264:Q264"/>
    <mergeCell ref="R264:R264"/>
    <mergeCell ref="S264:S264"/>
    <mergeCell ref="X264:X264"/>
    <mergeCell ref="Y264:Y264"/>
    <mergeCell ref="Z264:Z264"/>
    <mergeCell ref="AA264:AA264"/>
    <mergeCell ref="AB264:AB264"/>
    <mergeCell ref="AC264:AC264"/>
    <mergeCell ref="AD264:AD264"/>
    <mergeCell ref="AE264:AE264"/>
    <mergeCell ref="AF264:AF264"/>
    <mergeCell ref="A265:A265"/>
    <mergeCell ref="B265:B265"/>
    <mergeCell ref="C265:C265"/>
    <mergeCell ref="F265:F265"/>
    <mergeCell ref="G265:G265"/>
    <mergeCell ref="H265:H265"/>
    <mergeCell ref="M265:M265"/>
    <mergeCell ref="N265:N265"/>
    <mergeCell ref="O265:O265"/>
    <mergeCell ref="P265:P265"/>
    <mergeCell ref="Q265:Q265"/>
    <mergeCell ref="R265:R265"/>
    <mergeCell ref="S265:S265"/>
    <mergeCell ref="X265:X265"/>
    <mergeCell ref="Y265:Y265"/>
    <mergeCell ref="Z265:Z265"/>
    <mergeCell ref="AA265:AA265"/>
    <mergeCell ref="AB265:AB265"/>
    <mergeCell ref="AC265:AC265"/>
    <mergeCell ref="AD265:AD265"/>
    <mergeCell ref="AE265:AE265"/>
    <mergeCell ref="AF265:AF265"/>
    <mergeCell ref="A266:A266"/>
    <mergeCell ref="B266:B266"/>
    <mergeCell ref="C266:C266"/>
    <mergeCell ref="F266:F266"/>
    <mergeCell ref="G266:G266"/>
    <mergeCell ref="H266:H266"/>
    <mergeCell ref="M266:M266"/>
    <mergeCell ref="N266:N266"/>
    <mergeCell ref="O266:O266"/>
    <mergeCell ref="P266:P266"/>
    <mergeCell ref="Q266:Q266"/>
    <mergeCell ref="R266:R266"/>
    <mergeCell ref="S266:S266"/>
    <mergeCell ref="X266:X266"/>
    <mergeCell ref="Y266:Y266"/>
    <mergeCell ref="Z266:Z266"/>
    <mergeCell ref="AA266:AA266"/>
    <mergeCell ref="AB266:AB266"/>
    <mergeCell ref="AC266:AC266"/>
    <mergeCell ref="AD266:AD266"/>
    <mergeCell ref="AE266:AE266"/>
    <mergeCell ref="AF266:AF266"/>
    <mergeCell ref="A267:A267"/>
    <mergeCell ref="B267:B267"/>
    <mergeCell ref="C267:C267"/>
    <mergeCell ref="F267:F267"/>
    <mergeCell ref="G267:G267"/>
    <mergeCell ref="H267:H267"/>
    <mergeCell ref="M267:M267"/>
    <mergeCell ref="N267:N267"/>
    <mergeCell ref="O267:O267"/>
    <mergeCell ref="P267:P267"/>
    <mergeCell ref="Q267:Q267"/>
    <mergeCell ref="R267:R267"/>
    <mergeCell ref="S267:S267"/>
    <mergeCell ref="X267:X267"/>
    <mergeCell ref="Y267:Y267"/>
    <mergeCell ref="Z267:Z267"/>
    <mergeCell ref="AA267:AA267"/>
    <mergeCell ref="AB267:AB267"/>
    <mergeCell ref="AC267:AC267"/>
    <mergeCell ref="AD267:AD267"/>
    <mergeCell ref="AE267:AE267"/>
    <mergeCell ref="AF267:AF267"/>
    <mergeCell ref="A268:A268"/>
    <mergeCell ref="B268:B268"/>
    <mergeCell ref="C268:C268"/>
    <mergeCell ref="F268:F268"/>
    <mergeCell ref="G268:G268"/>
    <mergeCell ref="H268:H268"/>
    <mergeCell ref="M268:M268"/>
    <mergeCell ref="N268:N268"/>
    <mergeCell ref="O268:O268"/>
    <mergeCell ref="P268:P268"/>
    <mergeCell ref="Q268:Q268"/>
    <mergeCell ref="R268:R268"/>
    <mergeCell ref="S268:S268"/>
    <mergeCell ref="X268:X268"/>
    <mergeCell ref="Y268:Y268"/>
    <mergeCell ref="Z268:Z268"/>
    <mergeCell ref="AA268:AA268"/>
    <mergeCell ref="AB268:AB268"/>
    <mergeCell ref="AC268:AC268"/>
    <mergeCell ref="AD268:AD268"/>
    <mergeCell ref="AE268:AE268"/>
    <mergeCell ref="AF268:AF268"/>
    <mergeCell ref="A269:A269"/>
    <mergeCell ref="B269:B269"/>
    <mergeCell ref="C269:C269"/>
    <mergeCell ref="F269:F269"/>
    <mergeCell ref="G269:G269"/>
    <mergeCell ref="H269:H269"/>
    <mergeCell ref="M269:M269"/>
    <mergeCell ref="N269:N269"/>
    <mergeCell ref="O269:O269"/>
    <mergeCell ref="P269:P269"/>
    <mergeCell ref="Q269:Q269"/>
    <mergeCell ref="R269:R269"/>
    <mergeCell ref="S269:S269"/>
    <mergeCell ref="X269:X269"/>
    <mergeCell ref="Y269:Y269"/>
    <mergeCell ref="Z269:Z269"/>
    <mergeCell ref="AA269:AA269"/>
    <mergeCell ref="AB269:AB269"/>
    <mergeCell ref="AC269:AC269"/>
    <mergeCell ref="AD269:AD269"/>
    <mergeCell ref="AE269:AE269"/>
    <mergeCell ref="AF269:AF269"/>
    <mergeCell ref="A270:A270"/>
    <mergeCell ref="B270:B270"/>
    <mergeCell ref="C270:C270"/>
    <mergeCell ref="F270:F270"/>
    <mergeCell ref="G270:G270"/>
    <mergeCell ref="H270:H270"/>
    <mergeCell ref="M270:M270"/>
    <mergeCell ref="N270:N270"/>
    <mergeCell ref="O270:O270"/>
    <mergeCell ref="P270:P270"/>
    <mergeCell ref="Q270:Q270"/>
    <mergeCell ref="R270:R270"/>
    <mergeCell ref="S270:S270"/>
    <mergeCell ref="X270:X270"/>
    <mergeCell ref="Y270:Y270"/>
    <mergeCell ref="Z270:Z270"/>
    <mergeCell ref="AA270:AA270"/>
    <mergeCell ref="AB270:AB270"/>
    <mergeCell ref="AC270:AC270"/>
    <mergeCell ref="AD270:AD270"/>
    <mergeCell ref="AE270:AE270"/>
    <mergeCell ref="AF270:AF270"/>
    <mergeCell ref="A271:A271"/>
    <mergeCell ref="B271:B271"/>
    <mergeCell ref="C271:C271"/>
    <mergeCell ref="F271:F271"/>
    <mergeCell ref="G271:G271"/>
    <mergeCell ref="H271:H271"/>
    <mergeCell ref="M271:M271"/>
    <mergeCell ref="N271:N271"/>
    <mergeCell ref="O271:O271"/>
    <mergeCell ref="P271:P271"/>
    <mergeCell ref="Q271:Q271"/>
    <mergeCell ref="R271:R271"/>
    <mergeCell ref="S271:S271"/>
    <mergeCell ref="X271:X271"/>
    <mergeCell ref="Y271:Y271"/>
    <mergeCell ref="Z271:Z271"/>
    <mergeCell ref="AA271:AA271"/>
    <mergeCell ref="AB271:AB271"/>
    <mergeCell ref="AC271:AC271"/>
    <mergeCell ref="AD271:AD271"/>
    <mergeCell ref="AE271:AE271"/>
    <mergeCell ref="AF271:AF271"/>
    <mergeCell ref="A272:A272"/>
    <mergeCell ref="B272:B272"/>
    <mergeCell ref="C272:C272"/>
    <mergeCell ref="F272:F272"/>
    <mergeCell ref="G272:G272"/>
    <mergeCell ref="H272:H272"/>
    <mergeCell ref="M272:M272"/>
    <mergeCell ref="N272:N272"/>
    <mergeCell ref="O272:O272"/>
    <mergeCell ref="P272:P272"/>
    <mergeCell ref="Q272:Q272"/>
    <mergeCell ref="R272:R272"/>
    <mergeCell ref="S272:S272"/>
    <mergeCell ref="X272:X272"/>
    <mergeCell ref="Y272:Y272"/>
    <mergeCell ref="Z272:Z272"/>
    <mergeCell ref="AA272:AA272"/>
    <mergeCell ref="AB272:AB272"/>
    <mergeCell ref="AC272:AC272"/>
    <mergeCell ref="AD272:AD272"/>
    <mergeCell ref="AE272:AE272"/>
    <mergeCell ref="AF272:AF272"/>
    <mergeCell ref="A273:A273"/>
    <mergeCell ref="B273:B273"/>
    <mergeCell ref="C273:C273"/>
    <mergeCell ref="F273:F273"/>
    <mergeCell ref="G273:G273"/>
    <mergeCell ref="H273:H273"/>
    <mergeCell ref="M273:M273"/>
    <mergeCell ref="N273:N273"/>
    <mergeCell ref="O273:O273"/>
    <mergeCell ref="P273:P273"/>
    <mergeCell ref="Q273:Q273"/>
    <mergeCell ref="R273:R273"/>
    <mergeCell ref="S273:S273"/>
    <mergeCell ref="X273:X273"/>
    <mergeCell ref="Y273:Y273"/>
    <mergeCell ref="Z273:Z273"/>
    <mergeCell ref="AA273:AA273"/>
    <mergeCell ref="AB273:AB273"/>
    <mergeCell ref="AC273:AC273"/>
    <mergeCell ref="AD273:AD273"/>
    <mergeCell ref="AE273:AE273"/>
    <mergeCell ref="AF273:AF273"/>
    <mergeCell ref="A274:A274"/>
    <mergeCell ref="B274:B274"/>
    <mergeCell ref="C274:C274"/>
    <mergeCell ref="F274:F274"/>
    <mergeCell ref="G274:G274"/>
    <mergeCell ref="H274:H274"/>
    <mergeCell ref="M274:M274"/>
    <mergeCell ref="N274:N274"/>
    <mergeCell ref="O274:O274"/>
    <mergeCell ref="P274:P274"/>
    <mergeCell ref="Q274:Q274"/>
    <mergeCell ref="R274:R274"/>
    <mergeCell ref="S274:S274"/>
    <mergeCell ref="X274:X274"/>
    <mergeCell ref="Y274:Y274"/>
    <mergeCell ref="Z274:Z274"/>
    <mergeCell ref="AA274:AA274"/>
    <mergeCell ref="AB274:AB274"/>
    <mergeCell ref="AC274:AC274"/>
    <mergeCell ref="AD274:AD274"/>
    <mergeCell ref="AE274:AE274"/>
    <mergeCell ref="AF274:AF274"/>
    <mergeCell ref="A275:A275"/>
    <mergeCell ref="B275:B275"/>
    <mergeCell ref="C275:C275"/>
    <mergeCell ref="F275:F275"/>
    <mergeCell ref="G275:G275"/>
    <mergeCell ref="H275:H275"/>
    <mergeCell ref="M275:M275"/>
    <mergeCell ref="N275:N275"/>
    <mergeCell ref="O275:O275"/>
    <mergeCell ref="P275:P275"/>
    <mergeCell ref="Q275:Q275"/>
    <mergeCell ref="R275:R275"/>
    <mergeCell ref="S275:S275"/>
    <mergeCell ref="X275:X275"/>
    <mergeCell ref="Y275:Y275"/>
    <mergeCell ref="Z275:Z275"/>
    <mergeCell ref="AA275:AA275"/>
    <mergeCell ref="AB275:AB275"/>
    <mergeCell ref="AC275:AC275"/>
    <mergeCell ref="AD275:AD275"/>
    <mergeCell ref="AE275:AE275"/>
    <mergeCell ref="AF275:AF275"/>
    <mergeCell ref="A276:A276"/>
    <mergeCell ref="B276:B276"/>
    <mergeCell ref="C276:C276"/>
    <mergeCell ref="F276:F276"/>
    <mergeCell ref="G276:G276"/>
    <mergeCell ref="H276:H276"/>
    <mergeCell ref="M276:M276"/>
    <mergeCell ref="N276:N276"/>
    <mergeCell ref="O276:O276"/>
    <mergeCell ref="P276:P276"/>
    <mergeCell ref="Q276:Q276"/>
    <mergeCell ref="R276:R276"/>
    <mergeCell ref="S276:S276"/>
    <mergeCell ref="X276:X276"/>
    <mergeCell ref="Y276:Y276"/>
    <mergeCell ref="Z276:Z276"/>
    <mergeCell ref="AA276:AA276"/>
    <mergeCell ref="AB276:AB276"/>
    <mergeCell ref="AC276:AC276"/>
    <mergeCell ref="AD276:AD276"/>
    <mergeCell ref="AE276:AE276"/>
    <mergeCell ref="AF276:AF276"/>
    <mergeCell ref="A277:A277"/>
    <mergeCell ref="B277:B277"/>
    <mergeCell ref="C277:C277"/>
    <mergeCell ref="F277:F277"/>
    <mergeCell ref="G277:G277"/>
    <mergeCell ref="H277:H277"/>
    <mergeCell ref="M277:M277"/>
    <mergeCell ref="N277:N277"/>
    <mergeCell ref="O277:O277"/>
    <mergeCell ref="P277:P277"/>
    <mergeCell ref="Q277:Q277"/>
    <mergeCell ref="R277:R277"/>
    <mergeCell ref="S277:S277"/>
    <mergeCell ref="X277:X277"/>
    <mergeCell ref="Y277:Y277"/>
    <mergeCell ref="Z277:Z277"/>
    <mergeCell ref="AA277:AA277"/>
    <mergeCell ref="AB277:AB277"/>
    <mergeCell ref="AC277:AC277"/>
    <mergeCell ref="AD277:AD277"/>
    <mergeCell ref="AE277:AE277"/>
    <mergeCell ref="AF277:AF277"/>
    <mergeCell ref="A278:A278"/>
    <mergeCell ref="B278:B278"/>
    <mergeCell ref="C278:C278"/>
    <mergeCell ref="F278:F278"/>
    <mergeCell ref="G278:G278"/>
    <mergeCell ref="H278:H278"/>
    <mergeCell ref="M278:M278"/>
    <mergeCell ref="N278:N278"/>
    <mergeCell ref="O278:O278"/>
    <mergeCell ref="P278:P278"/>
    <mergeCell ref="Q278:Q278"/>
    <mergeCell ref="R278:R278"/>
    <mergeCell ref="S278:S278"/>
    <mergeCell ref="X278:X278"/>
    <mergeCell ref="Y278:Y278"/>
    <mergeCell ref="Z278:Z278"/>
    <mergeCell ref="AA278:AA278"/>
    <mergeCell ref="AB278:AB278"/>
    <mergeCell ref="AC278:AC278"/>
    <mergeCell ref="AD278:AD278"/>
    <mergeCell ref="AE278:AE278"/>
    <mergeCell ref="AF278:AF278"/>
    <mergeCell ref="A279:A279"/>
    <mergeCell ref="B279:B279"/>
    <mergeCell ref="C279:C279"/>
    <mergeCell ref="F279:F279"/>
    <mergeCell ref="G279:G279"/>
    <mergeCell ref="H279:H279"/>
    <mergeCell ref="M279:M279"/>
    <mergeCell ref="N279:N279"/>
    <mergeCell ref="O279:O279"/>
    <mergeCell ref="P279:P279"/>
    <mergeCell ref="Q279:Q279"/>
    <mergeCell ref="R279:R279"/>
    <mergeCell ref="S279:S279"/>
    <mergeCell ref="X279:X279"/>
    <mergeCell ref="Y279:Y279"/>
    <mergeCell ref="Z279:Z279"/>
    <mergeCell ref="AA279:AA279"/>
    <mergeCell ref="AB279:AB279"/>
    <mergeCell ref="AC279:AC279"/>
    <mergeCell ref="AD279:AD279"/>
    <mergeCell ref="AE279:AE279"/>
    <mergeCell ref="AF279:AF279"/>
    <mergeCell ref="A280:A280"/>
    <mergeCell ref="B280:B280"/>
    <mergeCell ref="C280:C280"/>
    <mergeCell ref="F280:F280"/>
    <mergeCell ref="G280:G280"/>
    <mergeCell ref="H280:H280"/>
    <mergeCell ref="M280:M280"/>
    <mergeCell ref="N280:N280"/>
    <mergeCell ref="O280:O280"/>
    <mergeCell ref="P280:P280"/>
    <mergeCell ref="Q280:Q280"/>
    <mergeCell ref="R280:R280"/>
    <mergeCell ref="S280:S280"/>
    <mergeCell ref="X280:X280"/>
    <mergeCell ref="Y280:Y280"/>
    <mergeCell ref="Z280:Z280"/>
    <mergeCell ref="AA280:AA280"/>
    <mergeCell ref="AB280:AB280"/>
    <mergeCell ref="AC280:AC280"/>
    <mergeCell ref="AD280:AD280"/>
    <mergeCell ref="AE280:AE280"/>
    <mergeCell ref="AF280:AF280"/>
    <mergeCell ref="A281:A281"/>
    <mergeCell ref="B281:B281"/>
    <mergeCell ref="C281:C281"/>
    <mergeCell ref="F281:F281"/>
    <mergeCell ref="G281:G281"/>
    <mergeCell ref="H281:H281"/>
    <mergeCell ref="M281:M281"/>
    <mergeCell ref="N281:N281"/>
    <mergeCell ref="O281:O281"/>
    <mergeCell ref="P281:P281"/>
    <mergeCell ref="Q281:Q281"/>
    <mergeCell ref="R281:R281"/>
    <mergeCell ref="S281:S281"/>
    <mergeCell ref="X281:X281"/>
    <mergeCell ref="Y281:Y281"/>
    <mergeCell ref="Z281:Z281"/>
    <mergeCell ref="AA281:AA281"/>
    <mergeCell ref="AB281:AB281"/>
    <mergeCell ref="AC281:AC281"/>
    <mergeCell ref="AD281:AD281"/>
    <mergeCell ref="AE281:AE281"/>
    <mergeCell ref="AF281:AF281"/>
    <mergeCell ref="A282:A282"/>
    <mergeCell ref="B282:B282"/>
    <mergeCell ref="C282:C282"/>
    <mergeCell ref="F282:F282"/>
    <mergeCell ref="G282:G282"/>
    <mergeCell ref="H282:H282"/>
    <mergeCell ref="M282:M282"/>
    <mergeCell ref="N282:N282"/>
    <mergeCell ref="O282:O282"/>
    <mergeCell ref="P282:P282"/>
    <mergeCell ref="Q282:Q282"/>
    <mergeCell ref="R282:R282"/>
    <mergeCell ref="S282:S282"/>
    <mergeCell ref="X282:X282"/>
    <mergeCell ref="Y282:Y282"/>
    <mergeCell ref="Z282:Z282"/>
    <mergeCell ref="AA282:AA282"/>
    <mergeCell ref="AB282:AB282"/>
    <mergeCell ref="AC282:AC282"/>
    <mergeCell ref="AD282:AD282"/>
    <mergeCell ref="AE282:AE282"/>
    <mergeCell ref="AF282:AF282"/>
    <mergeCell ref="A283:A283"/>
    <mergeCell ref="B283:B283"/>
    <mergeCell ref="C283:C283"/>
    <mergeCell ref="F283:F283"/>
    <mergeCell ref="G283:G283"/>
    <mergeCell ref="H283:H283"/>
    <mergeCell ref="M283:M283"/>
    <mergeCell ref="N283:N283"/>
    <mergeCell ref="O283:O283"/>
    <mergeCell ref="P283:P283"/>
    <mergeCell ref="Q283:Q283"/>
    <mergeCell ref="R283:R283"/>
    <mergeCell ref="S283:S283"/>
    <mergeCell ref="X283:X283"/>
    <mergeCell ref="Y283:Y283"/>
    <mergeCell ref="Z283:Z283"/>
    <mergeCell ref="AA283:AA283"/>
    <mergeCell ref="AB283:AB283"/>
    <mergeCell ref="AC283:AC283"/>
    <mergeCell ref="AD283:AD283"/>
    <mergeCell ref="AE283:AE283"/>
    <mergeCell ref="AF283:AF283"/>
    <mergeCell ref="A284:A284"/>
    <mergeCell ref="B284:B284"/>
    <mergeCell ref="C284:C284"/>
    <mergeCell ref="F284:F284"/>
    <mergeCell ref="G284:G284"/>
    <mergeCell ref="H284:H284"/>
    <mergeCell ref="M284:M284"/>
    <mergeCell ref="N284:N284"/>
    <mergeCell ref="O284:O284"/>
    <mergeCell ref="P284:P284"/>
    <mergeCell ref="Q284:Q284"/>
    <mergeCell ref="R284:R284"/>
    <mergeCell ref="S284:S284"/>
    <mergeCell ref="X284:X284"/>
    <mergeCell ref="Y284:Y284"/>
    <mergeCell ref="Z284:Z284"/>
    <mergeCell ref="AA284:AA284"/>
    <mergeCell ref="AB284:AB284"/>
    <mergeCell ref="AC284:AC284"/>
    <mergeCell ref="AD284:AD284"/>
    <mergeCell ref="AE284:AE284"/>
    <mergeCell ref="AF284:AF284"/>
    <mergeCell ref="A285:A285"/>
    <mergeCell ref="B285:B285"/>
    <mergeCell ref="C285:C285"/>
    <mergeCell ref="F285:F285"/>
    <mergeCell ref="G285:G285"/>
    <mergeCell ref="H285:H285"/>
    <mergeCell ref="M285:M285"/>
    <mergeCell ref="N285:N285"/>
    <mergeCell ref="O285:O285"/>
    <mergeCell ref="P285:P285"/>
    <mergeCell ref="Q285:Q285"/>
    <mergeCell ref="R285:R285"/>
    <mergeCell ref="S285:S285"/>
    <mergeCell ref="X285:X285"/>
    <mergeCell ref="Y285:Y285"/>
    <mergeCell ref="Z285:Z285"/>
    <mergeCell ref="AA285:AA285"/>
    <mergeCell ref="AB285:AB285"/>
    <mergeCell ref="AC285:AC285"/>
    <mergeCell ref="AD285:AD285"/>
    <mergeCell ref="AE285:AE285"/>
    <mergeCell ref="AF285:AF285"/>
    <mergeCell ref="A286:A286"/>
    <mergeCell ref="B286:B286"/>
    <mergeCell ref="C286:C286"/>
    <mergeCell ref="F286:F286"/>
    <mergeCell ref="G286:G286"/>
    <mergeCell ref="H286:H286"/>
    <mergeCell ref="M286:M286"/>
    <mergeCell ref="N286:N286"/>
    <mergeCell ref="O286:O286"/>
    <mergeCell ref="P286:P286"/>
    <mergeCell ref="Q286:Q286"/>
    <mergeCell ref="R286:R286"/>
    <mergeCell ref="S286:S286"/>
    <mergeCell ref="X286:X286"/>
    <mergeCell ref="Y286:Y286"/>
    <mergeCell ref="Z286:Z286"/>
    <mergeCell ref="AA286:AA286"/>
    <mergeCell ref="AB286:AB286"/>
    <mergeCell ref="AC286:AC286"/>
    <mergeCell ref="AD286:AD286"/>
    <mergeCell ref="AE286:AE286"/>
    <mergeCell ref="AF286:AF286"/>
    <mergeCell ref="A287:A287"/>
    <mergeCell ref="B287:B287"/>
    <mergeCell ref="C287:C287"/>
    <mergeCell ref="F287:F287"/>
    <mergeCell ref="G287:G287"/>
    <mergeCell ref="H287:H287"/>
    <mergeCell ref="M287:M287"/>
    <mergeCell ref="N287:N287"/>
    <mergeCell ref="O287:O287"/>
    <mergeCell ref="P287:P287"/>
    <mergeCell ref="Q287:Q287"/>
    <mergeCell ref="R287:R287"/>
    <mergeCell ref="S287:S287"/>
    <mergeCell ref="X287:X287"/>
    <mergeCell ref="Y287:Y287"/>
    <mergeCell ref="Z287:Z287"/>
    <mergeCell ref="AA287:AA287"/>
    <mergeCell ref="AB287:AB287"/>
    <mergeCell ref="AC287:AC287"/>
    <mergeCell ref="AD287:AD287"/>
    <mergeCell ref="AE287:AE287"/>
    <mergeCell ref="AF287:AF287"/>
    <mergeCell ref="A288:A288"/>
    <mergeCell ref="B288:B288"/>
    <mergeCell ref="C288:C288"/>
    <mergeCell ref="F288:F288"/>
    <mergeCell ref="G288:G288"/>
    <mergeCell ref="H288:H288"/>
    <mergeCell ref="M288:M288"/>
    <mergeCell ref="N288:N288"/>
    <mergeCell ref="O288:O288"/>
    <mergeCell ref="P288:P288"/>
    <mergeCell ref="Q288:Q288"/>
    <mergeCell ref="R288:R288"/>
    <mergeCell ref="S288:S288"/>
    <mergeCell ref="X288:X288"/>
    <mergeCell ref="Y288:Y288"/>
    <mergeCell ref="Z288:Z288"/>
    <mergeCell ref="AA288:AA288"/>
    <mergeCell ref="AB288:AB288"/>
    <mergeCell ref="AC288:AC288"/>
    <mergeCell ref="AD288:AD288"/>
    <mergeCell ref="AE288:AE288"/>
    <mergeCell ref="AF288:AF288"/>
    <mergeCell ref="A289:A289"/>
    <mergeCell ref="B289:B289"/>
    <mergeCell ref="C289:C289"/>
    <mergeCell ref="F289:F289"/>
    <mergeCell ref="G289:G289"/>
    <mergeCell ref="H289:H289"/>
    <mergeCell ref="M289:M289"/>
    <mergeCell ref="N289:N289"/>
    <mergeCell ref="O289:O289"/>
    <mergeCell ref="P289:P289"/>
    <mergeCell ref="Q289:Q289"/>
    <mergeCell ref="R289:R289"/>
    <mergeCell ref="S289:S289"/>
    <mergeCell ref="X289:X289"/>
    <mergeCell ref="Y289:Y289"/>
    <mergeCell ref="Z289:Z289"/>
    <mergeCell ref="AA289:AA289"/>
    <mergeCell ref="AB289:AB289"/>
    <mergeCell ref="AC289:AC289"/>
    <mergeCell ref="AD289:AD289"/>
    <mergeCell ref="AE289:AE289"/>
    <mergeCell ref="AF289:AF289"/>
    <mergeCell ref="A290:A290"/>
    <mergeCell ref="B290:B290"/>
    <mergeCell ref="C290:C290"/>
    <mergeCell ref="F290:F290"/>
    <mergeCell ref="G290:G290"/>
    <mergeCell ref="H290:H290"/>
    <mergeCell ref="M290:M290"/>
    <mergeCell ref="N290:N290"/>
    <mergeCell ref="O290:O290"/>
    <mergeCell ref="P290:P290"/>
    <mergeCell ref="Q290:Q290"/>
    <mergeCell ref="R290:R290"/>
    <mergeCell ref="S290:S290"/>
    <mergeCell ref="X290:X290"/>
    <mergeCell ref="Y290:Y290"/>
    <mergeCell ref="Z290:Z290"/>
    <mergeCell ref="AA290:AA290"/>
    <mergeCell ref="AB290:AB290"/>
    <mergeCell ref="AC290:AC290"/>
    <mergeCell ref="AD290:AD290"/>
    <mergeCell ref="AE290:AE290"/>
    <mergeCell ref="AF290:AF290"/>
    <mergeCell ref="A291:A291"/>
    <mergeCell ref="B291:B291"/>
    <mergeCell ref="C291:C291"/>
    <mergeCell ref="F291:F291"/>
    <mergeCell ref="G291:G291"/>
    <mergeCell ref="H291:H291"/>
    <mergeCell ref="M291:M291"/>
    <mergeCell ref="N291:N291"/>
    <mergeCell ref="O291:O291"/>
    <mergeCell ref="P291:P291"/>
    <mergeCell ref="Q291:Q291"/>
    <mergeCell ref="R291:R291"/>
    <mergeCell ref="S291:S291"/>
    <mergeCell ref="X291:X291"/>
    <mergeCell ref="Y291:Y291"/>
    <mergeCell ref="Z291:Z291"/>
    <mergeCell ref="AA291:AA291"/>
    <mergeCell ref="AB291:AB291"/>
    <mergeCell ref="AC291:AC291"/>
    <mergeCell ref="AD291:AD291"/>
    <mergeCell ref="AE291:AE291"/>
    <mergeCell ref="AF291:AF291"/>
    <mergeCell ref="A292:A292"/>
    <mergeCell ref="B292:B292"/>
    <mergeCell ref="C292:C292"/>
    <mergeCell ref="F292:F292"/>
    <mergeCell ref="G292:G292"/>
    <mergeCell ref="H292:H292"/>
    <mergeCell ref="M292:M292"/>
    <mergeCell ref="N292:N292"/>
    <mergeCell ref="O292:O292"/>
    <mergeCell ref="P292:P292"/>
    <mergeCell ref="Q292:Q292"/>
    <mergeCell ref="R292:R292"/>
    <mergeCell ref="S292:S292"/>
    <mergeCell ref="X292:X292"/>
    <mergeCell ref="Y292:Y292"/>
    <mergeCell ref="Z292:Z292"/>
    <mergeCell ref="AA292:AA292"/>
    <mergeCell ref="AB292:AB292"/>
    <mergeCell ref="AC292:AC292"/>
    <mergeCell ref="AD292:AD292"/>
    <mergeCell ref="AE292:AE292"/>
    <mergeCell ref="AF292:AF292"/>
    <mergeCell ref="A293:A293"/>
    <mergeCell ref="B293:B293"/>
    <mergeCell ref="C293:C293"/>
    <mergeCell ref="F293:F293"/>
    <mergeCell ref="G293:G293"/>
    <mergeCell ref="H293:H293"/>
    <mergeCell ref="M293:M293"/>
    <mergeCell ref="N293:N293"/>
    <mergeCell ref="O293:O293"/>
    <mergeCell ref="P293:P293"/>
    <mergeCell ref="Q293:Q293"/>
    <mergeCell ref="R293:R293"/>
    <mergeCell ref="S293:S293"/>
    <mergeCell ref="X293:X293"/>
    <mergeCell ref="Y293:Y293"/>
    <mergeCell ref="Z293:Z293"/>
    <mergeCell ref="AA293:AA293"/>
    <mergeCell ref="AB293:AB293"/>
    <mergeCell ref="AC293:AC293"/>
    <mergeCell ref="AD293:AD293"/>
    <mergeCell ref="AE293:AE293"/>
    <mergeCell ref="AF293:AF293"/>
    <mergeCell ref="A294:A294"/>
    <mergeCell ref="B294:B294"/>
    <mergeCell ref="C294:C294"/>
    <mergeCell ref="F294:F294"/>
    <mergeCell ref="G294:G294"/>
    <mergeCell ref="H294:H294"/>
    <mergeCell ref="M294:M294"/>
    <mergeCell ref="N294:N294"/>
    <mergeCell ref="O294:O294"/>
    <mergeCell ref="P294:P294"/>
    <mergeCell ref="Q294:Q294"/>
    <mergeCell ref="R294:R294"/>
    <mergeCell ref="S294:S294"/>
    <mergeCell ref="X294:X294"/>
    <mergeCell ref="Y294:Y294"/>
    <mergeCell ref="Z294:Z294"/>
    <mergeCell ref="AA294:AA294"/>
    <mergeCell ref="AB294:AB294"/>
    <mergeCell ref="AC294:AC294"/>
    <mergeCell ref="AD294:AD294"/>
    <mergeCell ref="AE294:AE294"/>
    <mergeCell ref="AF294:AF294"/>
    <mergeCell ref="A295:A295"/>
    <mergeCell ref="B295:B295"/>
    <mergeCell ref="C295:C295"/>
    <mergeCell ref="F295:F295"/>
    <mergeCell ref="G295:G295"/>
    <mergeCell ref="H295:H295"/>
    <mergeCell ref="M295:M295"/>
    <mergeCell ref="N295:N295"/>
    <mergeCell ref="O295:O295"/>
    <mergeCell ref="P295:P295"/>
    <mergeCell ref="Q295:Q295"/>
    <mergeCell ref="R295:R295"/>
    <mergeCell ref="S295:S295"/>
    <mergeCell ref="X295:X295"/>
    <mergeCell ref="Y295:Y295"/>
    <mergeCell ref="Z295:Z295"/>
    <mergeCell ref="AA295:AA295"/>
    <mergeCell ref="AB295:AB295"/>
    <mergeCell ref="AC295:AC295"/>
    <mergeCell ref="AD295:AD295"/>
    <mergeCell ref="AE295:AE295"/>
    <mergeCell ref="AF295:AF295"/>
    <mergeCell ref="A296:A296"/>
    <mergeCell ref="B296:B296"/>
    <mergeCell ref="C296:C296"/>
    <mergeCell ref="F296:F296"/>
    <mergeCell ref="G296:G296"/>
    <mergeCell ref="H296:H296"/>
    <mergeCell ref="M296:M296"/>
    <mergeCell ref="N296:N296"/>
    <mergeCell ref="O296:O296"/>
    <mergeCell ref="P296:P296"/>
    <mergeCell ref="Q296:Q296"/>
    <mergeCell ref="R296:R296"/>
    <mergeCell ref="S296:S296"/>
    <mergeCell ref="X296:X296"/>
    <mergeCell ref="Y296:Y296"/>
    <mergeCell ref="Z296:Z296"/>
    <mergeCell ref="AA296:AA296"/>
    <mergeCell ref="AB296:AB296"/>
    <mergeCell ref="AC296:AC296"/>
    <mergeCell ref="AD296:AD296"/>
    <mergeCell ref="AE296:AE296"/>
    <mergeCell ref="AF296:AF296"/>
    <mergeCell ref="A297:A297"/>
    <mergeCell ref="B297:B297"/>
    <mergeCell ref="C297:C297"/>
    <mergeCell ref="F297:F297"/>
    <mergeCell ref="G297:G297"/>
    <mergeCell ref="H297:H297"/>
    <mergeCell ref="M297:M297"/>
    <mergeCell ref="N297:N297"/>
    <mergeCell ref="O297:O297"/>
    <mergeCell ref="P297:P297"/>
    <mergeCell ref="Q297:Q297"/>
    <mergeCell ref="R297:R297"/>
    <mergeCell ref="S297:S297"/>
    <mergeCell ref="X297:X297"/>
    <mergeCell ref="Y297:Y297"/>
    <mergeCell ref="Z297:Z297"/>
    <mergeCell ref="AA297:AA297"/>
    <mergeCell ref="AB297:AB297"/>
    <mergeCell ref="AC297:AC297"/>
    <mergeCell ref="AD297:AD297"/>
    <mergeCell ref="AE297:AE297"/>
    <mergeCell ref="AF297:AF297"/>
    <mergeCell ref="A298:A298"/>
    <mergeCell ref="B298:B298"/>
    <mergeCell ref="C298:C298"/>
    <mergeCell ref="F298:F298"/>
    <mergeCell ref="G298:G298"/>
    <mergeCell ref="H298:H298"/>
    <mergeCell ref="M298:M298"/>
    <mergeCell ref="N298:N298"/>
    <mergeCell ref="O298:O298"/>
    <mergeCell ref="P298:P298"/>
    <mergeCell ref="Q298:Q298"/>
    <mergeCell ref="R298:R298"/>
    <mergeCell ref="S298:S298"/>
    <mergeCell ref="X298:X298"/>
    <mergeCell ref="Y298:Y298"/>
    <mergeCell ref="Z298:Z298"/>
    <mergeCell ref="AA298:AA298"/>
    <mergeCell ref="AB298:AB298"/>
    <mergeCell ref="AC298:AC298"/>
    <mergeCell ref="AD298:AD298"/>
    <mergeCell ref="AE298:AE298"/>
    <mergeCell ref="AF298:AF298"/>
    <mergeCell ref="A299:A299"/>
    <mergeCell ref="B299:B299"/>
    <mergeCell ref="C299:C299"/>
    <mergeCell ref="F299:F299"/>
    <mergeCell ref="G299:G299"/>
    <mergeCell ref="H299:H299"/>
    <mergeCell ref="M299:M299"/>
    <mergeCell ref="N299:N299"/>
    <mergeCell ref="O299:O299"/>
    <mergeCell ref="P299:P299"/>
    <mergeCell ref="Q299:Q299"/>
    <mergeCell ref="R299:R299"/>
    <mergeCell ref="S299:S299"/>
    <mergeCell ref="X299:X299"/>
    <mergeCell ref="Y299:Y299"/>
    <mergeCell ref="Z299:Z299"/>
    <mergeCell ref="AA299:AA299"/>
    <mergeCell ref="AB299:AB299"/>
    <mergeCell ref="AC299:AC299"/>
    <mergeCell ref="AD299:AD299"/>
    <mergeCell ref="AE299:AE299"/>
    <mergeCell ref="AF299:AF299"/>
    <mergeCell ref="A300:A300"/>
    <mergeCell ref="B300:B300"/>
    <mergeCell ref="C300:C300"/>
    <mergeCell ref="F300:F300"/>
    <mergeCell ref="G300:G300"/>
    <mergeCell ref="H300:H300"/>
    <mergeCell ref="M300:M300"/>
    <mergeCell ref="N300:N300"/>
    <mergeCell ref="O300:O300"/>
    <mergeCell ref="P300:P300"/>
    <mergeCell ref="Q300:Q300"/>
    <mergeCell ref="R300:R300"/>
    <mergeCell ref="S300:S300"/>
    <mergeCell ref="X300:X300"/>
    <mergeCell ref="Y300:Y300"/>
    <mergeCell ref="Z300:Z300"/>
    <mergeCell ref="AA300:AA300"/>
    <mergeCell ref="AB300:AB300"/>
    <mergeCell ref="AC300:AC300"/>
    <mergeCell ref="AD300:AD300"/>
    <mergeCell ref="AE300:AE300"/>
    <mergeCell ref="AF300:AF300"/>
    <mergeCell ref="A301:A301"/>
    <mergeCell ref="B301:B301"/>
    <mergeCell ref="C301:C301"/>
    <mergeCell ref="F301:F301"/>
    <mergeCell ref="G301:G301"/>
    <mergeCell ref="H301:H301"/>
    <mergeCell ref="M301:M301"/>
    <mergeCell ref="N301:N301"/>
    <mergeCell ref="O301:O301"/>
    <mergeCell ref="P301:P301"/>
    <mergeCell ref="Q301:Q301"/>
    <mergeCell ref="R301:R301"/>
    <mergeCell ref="S301:S301"/>
    <mergeCell ref="X301:X301"/>
    <mergeCell ref="Y301:Y301"/>
    <mergeCell ref="Z301:Z301"/>
    <mergeCell ref="AA301:AA301"/>
    <mergeCell ref="AB301:AB301"/>
    <mergeCell ref="AC301:AC301"/>
    <mergeCell ref="AD301:AD301"/>
    <mergeCell ref="AE301:AE301"/>
    <mergeCell ref="AF301:AF301"/>
    <mergeCell ref="A302:A302"/>
    <mergeCell ref="B302:B302"/>
    <mergeCell ref="C302:C302"/>
    <mergeCell ref="F302:F302"/>
    <mergeCell ref="G302:G302"/>
    <mergeCell ref="H302:H302"/>
    <mergeCell ref="M302:M302"/>
    <mergeCell ref="N302:N302"/>
    <mergeCell ref="O302:O302"/>
    <mergeCell ref="P302:P302"/>
    <mergeCell ref="Q302:Q302"/>
    <mergeCell ref="R302:R302"/>
    <mergeCell ref="S302:S302"/>
    <mergeCell ref="X302:X302"/>
    <mergeCell ref="Y302:Y302"/>
    <mergeCell ref="Z302:Z302"/>
    <mergeCell ref="AA302:AA302"/>
    <mergeCell ref="AB302:AB302"/>
    <mergeCell ref="AC302:AC302"/>
    <mergeCell ref="AD302:AD302"/>
    <mergeCell ref="AE302:AE302"/>
    <mergeCell ref="AF302:AF302"/>
    <mergeCell ref="A303:A303"/>
    <mergeCell ref="B303:B303"/>
    <mergeCell ref="C303:C303"/>
    <mergeCell ref="F303:F303"/>
    <mergeCell ref="G303:G303"/>
    <mergeCell ref="H303:H303"/>
    <mergeCell ref="M303:M303"/>
    <mergeCell ref="N303:N303"/>
    <mergeCell ref="O303:O303"/>
    <mergeCell ref="P303:P303"/>
    <mergeCell ref="Q303:Q303"/>
    <mergeCell ref="R303:R303"/>
    <mergeCell ref="S303:S303"/>
    <mergeCell ref="X303:X303"/>
    <mergeCell ref="Y303:Y303"/>
    <mergeCell ref="Z303:Z303"/>
    <mergeCell ref="AA303:AA303"/>
    <mergeCell ref="AB303:AB303"/>
    <mergeCell ref="AC303:AC303"/>
    <mergeCell ref="AD303:AD303"/>
    <mergeCell ref="AE303:AE303"/>
    <mergeCell ref="AF303:AF303"/>
    <mergeCell ref="A304:A304"/>
    <mergeCell ref="B304:B304"/>
    <mergeCell ref="C304:C304"/>
    <mergeCell ref="F304:F304"/>
    <mergeCell ref="G304:G304"/>
    <mergeCell ref="H304:H304"/>
    <mergeCell ref="M304:M304"/>
    <mergeCell ref="N304:N304"/>
    <mergeCell ref="O304:O304"/>
    <mergeCell ref="P304:P304"/>
    <mergeCell ref="Q304:Q304"/>
    <mergeCell ref="R304:R304"/>
    <mergeCell ref="S304:S304"/>
    <mergeCell ref="X304:X304"/>
    <mergeCell ref="Y304:Y304"/>
    <mergeCell ref="Z304:Z304"/>
    <mergeCell ref="AA304:AA304"/>
    <mergeCell ref="AB304:AB304"/>
    <mergeCell ref="AC304:AC304"/>
    <mergeCell ref="AD304:AD304"/>
    <mergeCell ref="AE304:AE304"/>
    <mergeCell ref="AF304:AF304"/>
    <mergeCell ref="A305:A305"/>
    <mergeCell ref="B305:B305"/>
    <mergeCell ref="C305:C305"/>
    <mergeCell ref="F305:F305"/>
    <mergeCell ref="G305:G305"/>
    <mergeCell ref="H305:H305"/>
    <mergeCell ref="M305:M305"/>
    <mergeCell ref="N305:N305"/>
    <mergeCell ref="O305:O305"/>
    <mergeCell ref="P305:P305"/>
    <mergeCell ref="Q305:Q305"/>
    <mergeCell ref="R305:R305"/>
    <mergeCell ref="S305:S305"/>
    <mergeCell ref="X305:X305"/>
    <mergeCell ref="Y305:Y305"/>
    <mergeCell ref="Z305:Z305"/>
    <mergeCell ref="AA305:AA305"/>
    <mergeCell ref="AB305:AB305"/>
    <mergeCell ref="AC305:AC305"/>
    <mergeCell ref="AD305:AD305"/>
    <mergeCell ref="AE305:AE305"/>
    <mergeCell ref="AF305:AF305"/>
    <mergeCell ref="A306:A306"/>
    <mergeCell ref="B306:B306"/>
    <mergeCell ref="C306:C306"/>
    <mergeCell ref="F306:F306"/>
    <mergeCell ref="G306:G306"/>
    <mergeCell ref="H306:H306"/>
    <mergeCell ref="M306:M306"/>
    <mergeCell ref="N306:N306"/>
    <mergeCell ref="O306:O306"/>
    <mergeCell ref="P306:P306"/>
    <mergeCell ref="Q306:Q306"/>
    <mergeCell ref="R306:R306"/>
    <mergeCell ref="S306:S306"/>
    <mergeCell ref="X306:X306"/>
    <mergeCell ref="Y306:Y306"/>
    <mergeCell ref="Z306:Z306"/>
    <mergeCell ref="AA306:AA306"/>
    <mergeCell ref="AB306:AB306"/>
    <mergeCell ref="AC306:AC306"/>
    <mergeCell ref="AD306:AD306"/>
    <mergeCell ref="AE306:AE306"/>
    <mergeCell ref="AF306:AF306"/>
    <mergeCell ref="A307:A307"/>
    <mergeCell ref="B307:B307"/>
    <mergeCell ref="C307:C307"/>
    <mergeCell ref="F307:F307"/>
    <mergeCell ref="G307:G307"/>
    <mergeCell ref="H307:H307"/>
    <mergeCell ref="M307:M307"/>
    <mergeCell ref="N307:N307"/>
    <mergeCell ref="O307:O307"/>
    <mergeCell ref="P307:P307"/>
    <mergeCell ref="Q307:Q307"/>
    <mergeCell ref="R307:R307"/>
    <mergeCell ref="S307:S307"/>
    <mergeCell ref="X307:X307"/>
    <mergeCell ref="Y307:Y307"/>
    <mergeCell ref="Z307:Z307"/>
    <mergeCell ref="AA307:AA307"/>
    <mergeCell ref="AB307:AB307"/>
    <mergeCell ref="AC307:AC307"/>
    <mergeCell ref="AD307:AD307"/>
    <mergeCell ref="AE307:AE307"/>
    <mergeCell ref="AF307:AF307"/>
    <mergeCell ref="A308:A308"/>
    <mergeCell ref="B308:B308"/>
    <mergeCell ref="C308:C308"/>
    <mergeCell ref="F308:F308"/>
    <mergeCell ref="G308:G308"/>
    <mergeCell ref="H308:H308"/>
    <mergeCell ref="M308:M308"/>
    <mergeCell ref="N308:N308"/>
    <mergeCell ref="O308:O308"/>
    <mergeCell ref="P308:P308"/>
    <mergeCell ref="Q308:Q308"/>
    <mergeCell ref="R308:R308"/>
    <mergeCell ref="S308:S308"/>
    <mergeCell ref="X308:X308"/>
    <mergeCell ref="Y308:Y308"/>
    <mergeCell ref="Z308:Z308"/>
    <mergeCell ref="AA308:AA308"/>
    <mergeCell ref="AB308:AB308"/>
    <mergeCell ref="AC308:AC308"/>
    <mergeCell ref="AD308:AD308"/>
    <mergeCell ref="AE308:AE308"/>
    <mergeCell ref="AF308:AF308"/>
    <mergeCell ref="A309:A309"/>
    <mergeCell ref="B309:B309"/>
    <mergeCell ref="C309:C309"/>
    <mergeCell ref="F309:F309"/>
    <mergeCell ref="G309:G309"/>
    <mergeCell ref="H309:H309"/>
    <mergeCell ref="M309:M309"/>
    <mergeCell ref="N309:N309"/>
    <mergeCell ref="O309:O309"/>
    <mergeCell ref="P309:P309"/>
    <mergeCell ref="Q309:Q309"/>
    <mergeCell ref="R309:R309"/>
    <mergeCell ref="S309:S309"/>
    <mergeCell ref="X309:X309"/>
    <mergeCell ref="Y309:Y309"/>
    <mergeCell ref="Z309:Z309"/>
    <mergeCell ref="AA309:AA309"/>
    <mergeCell ref="AB309:AB309"/>
    <mergeCell ref="AC309:AC309"/>
    <mergeCell ref="AD309:AD309"/>
    <mergeCell ref="AE309:AE309"/>
    <mergeCell ref="AF309:AF309"/>
    <mergeCell ref="A310:A310"/>
    <mergeCell ref="B310:B310"/>
    <mergeCell ref="C310:C310"/>
    <mergeCell ref="F310:F310"/>
    <mergeCell ref="G310:G310"/>
    <mergeCell ref="H310:H310"/>
    <mergeCell ref="M310:M310"/>
    <mergeCell ref="N310:N310"/>
    <mergeCell ref="O310:O310"/>
    <mergeCell ref="P310:P310"/>
    <mergeCell ref="Q310:Q310"/>
    <mergeCell ref="R310:R310"/>
    <mergeCell ref="S310:S310"/>
    <mergeCell ref="X310:X310"/>
    <mergeCell ref="Y310:Y310"/>
    <mergeCell ref="Z310:Z310"/>
    <mergeCell ref="AA310:AA310"/>
    <mergeCell ref="AB310:AB310"/>
    <mergeCell ref="AC310:AC310"/>
    <mergeCell ref="AD310:AD310"/>
    <mergeCell ref="AE310:AE310"/>
    <mergeCell ref="AF310:AF310"/>
    <mergeCell ref="A311:A311"/>
    <mergeCell ref="B311:B311"/>
    <mergeCell ref="C311:C311"/>
    <mergeCell ref="F311:F311"/>
    <mergeCell ref="G311:G311"/>
    <mergeCell ref="H311:H311"/>
    <mergeCell ref="M311:M311"/>
    <mergeCell ref="N311:N311"/>
    <mergeCell ref="O311:O311"/>
    <mergeCell ref="P311:P311"/>
    <mergeCell ref="Q311:Q311"/>
    <mergeCell ref="R311:R311"/>
    <mergeCell ref="S311:S311"/>
    <mergeCell ref="X311:X311"/>
    <mergeCell ref="Y311:Y311"/>
    <mergeCell ref="Z311:Z311"/>
    <mergeCell ref="AA311:AA311"/>
    <mergeCell ref="AB311:AB311"/>
    <mergeCell ref="AC311:AC311"/>
    <mergeCell ref="AD311:AD311"/>
    <mergeCell ref="AE311:AE311"/>
    <mergeCell ref="AF311:AF311"/>
    <mergeCell ref="A312:A312"/>
    <mergeCell ref="B312:B312"/>
    <mergeCell ref="C312:C312"/>
    <mergeCell ref="F312:F312"/>
    <mergeCell ref="G312:G312"/>
    <mergeCell ref="H312:H312"/>
    <mergeCell ref="M312:M312"/>
    <mergeCell ref="N312:N312"/>
    <mergeCell ref="O312:O312"/>
    <mergeCell ref="P312:P312"/>
    <mergeCell ref="Q312:Q312"/>
    <mergeCell ref="R312:R312"/>
    <mergeCell ref="S312:S312"/>
    <mergeCell ref="X312:X312"/>
    <mergeCell ref="Y312:Y312"/>
    <mergeCell ref="Z312:Z312"/>
    <mergeCell ref="AA312:AA312"/>
    <mergeCell ref="AB312:AB312"/>
    <mergeCell ref="AC312:AC312"/>
    <mergeCell ref="AD312:AD312"/>
    <mergeCell ref="AE312:AE312"/>
    <mergeCell ref="AF312:AF312"/>
    <mergeCell ref="A313:A313"/>
    <mergeCell ref="B313:B313"/>
    <mergeCell ref="C313:C313"/>
    <mergeCell ref="F313:F313"/>
    <mergeCell ref="G313:G313"/>
    <mergeCell ref="H313:H313"/>
    <mergeCell ref="M313:M313"/>
    <mergeCell ref="N313:N313"/>
    <mergeCell ref="O313:O313"/>
    <mergeCell ref="P313:P313"/>
    <mergeCell ref="Q313:Q313"/>
    <mergeCell ref="R313:R313"/>
    <mergeCell ref="S313:S313"/>
    <mergeCell ref="X313:X313"/>
    <mergeCell ref="Y313:Y313"/>
    <mergeCell ref="Z313:Z313"/>
    <mergeCell ref="AA313:AA313"/>
    <mergeCell ref="AB313:AB313"/>
    <mergeCell ref="AC313:AC313"/>
    <mergeCell ref="AD313:AD313"/>
    <mergeCell ref="AE313:AE313"/>
    <mergeCell ref="AF313:AF313"/>
    <mergeCell ref="A314:A314"/>
    <mergeCell ref="B314:B314"/>
    <mergeCell ref="C314:C314"/>
    <mergeCell ref="F314:F314"/>
    <mergeCell ref="G314:G314"/>
    <mergeCell ref="H314:H314"/>
    <mergeCell ref="M314:M314"/>
    <mergeCell ref="N314:N314"/>
    <mergeCell ref="O314:O314"/>
    <mergeCell ref="P314:P314"/>
    <mergeCell ref="Q314:Q314"/>
    <mergeCell ref="R314:R314"/>
    <mergeCell ref="S314:S314"/>
    <mergeCell ref="X314:X314"/>
    <mergeCell ref="Y314:Y314"/>
    <mergeCell ref="Z314:Z314"/>
    <mergeCell ref="AA314:AA314"/>
    <mergeCell ref="AB314:AB314"/>
    <mergeCell ref="AC314:AC314"/>
    <mergeCell ref="AD314:AD314"/>
    <mergeCell ref="AE314:AE314"/>
    <mergeCell ref="AF314:AF314"/>
    <mergeCell ref="A315:A316"/>
    <mergeCell ref="B315:B316"/>
    <mergeCell ref="C315:C316"/>
    <mergeCell ref="F315:F316"/>
    <mergeCell ref="G315:G316"/>
    <mergeCell ref="H315:H316"/>
    <mergeCell ref="M315:M316"/>
    <mergeCell ref="N315:N316"/>
    <mergeCell ref="O315:O316"/>
    <mergeCell ref="P315:P316"/>
    <mergeCell ref="Q315:Q316"/>
    <mergeCell ref="R315:R316"/>
    <mergeCell ref="S315:S316"/>
    <mergeCell ref="X315:X316"/>
    <mergeCell ref="Y315:Y316"/>
    <mergeCell ref="Z315:Z316"/>
    <mergeCell ref="AA315:AA316"/>
    <mergeCell ref="AB315:AB316"/>
    <mergeCell ref="AC315:AC316"/>
    <mergeCell ref="AD315:AD316"/>
    <mergeCell ref="AE315:AE316"/>
    <mergeCell ref="AF315:AF316"/>
    <mergeCell ref="A317:A317"/>
    <mergeCell ref="B317:B317"/>
    <mergeCell ref="C317:C317"/>
    <mergeCell ref="F317:F317"/>
    <mergeCell ref="G317:G317"/>
    <mergeCell ref="H317:H317"/>
    <mergeCell ref="M317:M317"/>
    <mergeCell ref="N317:N317"/>
    <mergeCell ref="O317:O317"/>
    <mergeCell ref="P317:P317"/>
    <mergeCell ref="Q317:Q317"/>
    <mergeCell ref="R317:R317"/>
    <mergeCell ref="S317:S317"/>
    <mergeCell ref="X317:X317"/>
    <mergeCell ref="Y317:Y317"/>
    <mergeCell ref="Z317:Z317"/>
    <mergeCell ref="AA317:AA317"/>
    <mergeCell ref="AB317:AB317"/>
    <mergeCell ref="AC317:AC317"/>
    <mergeCell ref="AD317:AD317"/>
    <mergeCell ref="AE317:AE317"/>
    <mergeCell ref="AF317:AF317"/>
    <mergeCell ref="A318:A318"/>
    <mergeCell ref="B318:B318"/>
    <mergeCell ref="C318:C318"/>
    <mergeCell ref="F318:F318"/>
    <mergeCell ref="G318:G318"/>
    <mergeCell ref="H318:H318"/>
    <mergeCell ref="M318:M318"/>
    <mergeCell ref="N318:N318"/>
    <mergeCell ref="O318:O318"/>
    <mergeCell ref="P318:P318"/>
    <mergeCell ref="Q318:Q318"/>
    <mergeCell ref="R318:R318"/>
    <mergeCell ref="S318:S318"/>
    <mergeCell ref="X318:X318"/>
    <mergeCell ref="Y318:Y318"/>
    <mergeCell ref="Z318:Z318"/>
    <mergeCell ref="AA318:AA318"/>
    <mergeCell ref="AB318:AB318"/>
    <mergeCell ref="AC318:AC318"/>
    <mergeCell ref="AD318:AD318"/>
    <mergeCell ref="AE318:AE318"/>
    <mergeCell ref="AF318:AF318"/>
    <mergeCell ref="A319:A319"/>
    <mergeCell ref="B319:B319"/>
    <mergeCell ref="C319:C319"/>
    <mergeCell ref="F319:F319"/>
    <mergeCell ref="G319:G319"/>
    <mergeCell ref="H319:H319"/>
    <mergeCell ref="M319:M319"/>
    <mergeCell ref="N319:N319"/>
    <mergeCell ref="O319:O319"/>
    <mergeCell ref="P319:P319"/>
    <mergeCell ref="Q319:Q319"/>
    <mergeCell ref="R319:R319"/>
    <mergeCell ref="S319:S319"/>
    <mergeCell ref="X319:X319"/>
    <mergeCell ref="Y319:Y319"/>
    <mergeCell ref="Z319:Z319"/>
    <mergeCell ref="AA319:AA319"/>
    <mergeCell ref="AB319:AB319"/>
    <mergeCell ref="AC319:AC319"/>
    <mergeCell ref="AD319:AD319"/>
    <mergeCell ref="AE319:AE319"/>
    <mergeCell ref="AF319:AF319"/>
    <mergeCell ref="A320:A320"/>
    <mergeCell ref="B320:B320"/>
    <mergeCell ref="C320:C320"/>
    <mergeCell ref="F320:F320"/>
    <mergeCell ref="G320:G320"/>
    <mergeCell ref="H320:H320"/>
    <mergeCell ref="M320:M320"/>
    <mergeCell ref="N320:N320"/>
    <mergeCell ref="O320:O320"/>
    <mergeCell ref="P320:P320"/>
    <mergeCell ref="Q320:Q320"/>
    <mergeCell ref="R320:R320"/>
    <mergeCell ref="S320:S320"/>
    <mergeCell ref="X320:X320"/>
    <mergeCell ref="Y320:Y320"/>
    <mergeCell ref="Z320:Z320"/>
    <mergeCell ref="AA320:AA320"/>
    <mergeCell ref="AB320:AB320"/>
    <mergeCell ref="AC320:AC320"/>
    <mergeCell ref="AD320:AD320"/>
    <mergeCell ref="AE320:AE320"/>
    <mergeCell ref="AF320:AF320"/>
    <mergeCell ref="A321:A321"/>
    <mergeCell ref="B321:B321"/>
    <mergeCell ref="C321:C321"/>
    <mergeCell ref="F321:F321"/>
    <mergeCell ref="G321:G321"/>
    <mergeCell ref="H321:H321"/>
    <mergeCell ref="M321:M321"/>
    <mergeCell ref="N321:N321"/>
    <mergeCell ref="O321:O321"/>
    <mergeCell ref="P321:P321"/>
    <mergeCell ref="Q321:Q321"/>
    <mergeCell ref="R321:R321"/>
    <mergeCell ref="S321:S321"/>
    <mergeCell ref="X321:X321"/>
    <mergeCell ref="Y321:Y321"/>
    <mergeCell ref="Z321:Z321"/>
    <mergeCell ref="AA321:AA321"/>
    <mergeCell ref="AB321:AB321"/>
    <mergeCell ref="AC321:AC321"/>
    <mergeCell ref="AD321:AD321"/>
    <mergeCell ref="AE321:AE321"/>
    <mergeCell ref="AF321:AF321"/>
    <mergeCell ref="A322:A322"/>
    <mergeCell ref="B322:B322"/>
    <mergeCell ref="C322:C322"/>
    <mergeCell ref="F322:F322"/>
    <mergeCell ref="G322:G322"/>
    <mergeCell ref="H322:H322"/>
    <mergeCell ref="M322:M322"/>
    <mergeCell ref="N322:N322"/>
    <mergeCell ref="O322:O322"/>
    <mergeCell ref="P322:P322"/>
    <mergeCell ref="Q322:Q322"/>
    <mergeCell ref="R322:R322"/>
    <mergeCell ref="S322:S322"/>
    <mergeCell ref="X322:X322"/>
    <mergeCell ref="Y322:Y322"/>
    <mergeCell ref="Z322:Z322"/>
    <mergeCell ref="AA322:AA322"/>
    <mergeCell ref="AB322:AB322"/>
    <mergeCell ref="AC322:AC322"/>
    <mergeCell ref="AD322:AD322"/>
    <mergeCell ref="AE322:AE322"/>
    <mergeCell ref="AF322:AF322"/>
    <mergeCell ref="A323:A323"/>
    <mergeCell ref="B323:B323"/>
    <mergeCell ref="C323:C323"/>
    <mergeCell ref="F323:F323"/>
    <mergeCell ref="G323:G323"/>
    <mergeCell ref="H323:H323"/>
    <mergeCell ref="M323:M323"/>
    <mergeCell ref="N323:N323"/>
    <mergeCell ref="O323:O323"/>
    <mergeCell ref="P323:P323"/>
    <mergeCell ref="Q323:Q323"/>
    <mergeCell ref="R323:R323"/>
    <mergeCell ref="S323:S323"/>
    <mergeCell ref="X323:X323"/>
    <mergeCell ref="Y323:Y323"/>
    <mergeCell ref="Z323:Z323"/>
    <mergeCell ref="AA323:AA323"/>
    <mergeCell ref="AB323:AB323"/>
    <mergeCell ref="AC323:AC323"/>
    <mergeCell ref="AD323:AD323"/>
    <mergeCell ref="AE323:AE323"/>
    <mergeCell ref="AF323:AF323"/>
    <mergeCell ref="A324:A324"/>
    <mergeCell ref="B324:B324"/>
    <mergeCell ref="C324:C324"/>
    <mergeCell ref="F324:F324"/>
    <mergeCell ref="G324:G324"/>
    <mergeCell ref="H324:H324"/>
    <mergeCell ref="M324:M324"/>
    <mergeCell ref="N324:N324"/>
    <mergeCell ref="O324:O324"/>
    <mergeCell ref="P324:P324"/>
    <mergeCell ref="Q324:Q324"/>
    <mergeCell ref="R324:R324"/>
    <mergeCell ref="S324:S324"/>
    <mergeCell ref="X324:X324"/>
    <mergeCell ref="Y324:Y324"/>
    <mergeCell ref="Z324:Z324"/>
    <mergeCell ref="AA324:AA324"/>
    <mergeCell ref="AB324:AB324"/>
    <mergeCell ref="AC324:AC324"/>
    <mergeCell ref="AD324:AD324"/>
    <mergeCell ref="AE324:AE324"/>
    <mergeCell ref="AF324:AF324"/>
    <mergeCell ref="A325:A325"/>
    <mergeCell ref="B325:B325"/>
    <mergeCell ref="C325:C325"/>
    <mergeCell ref="F325:F325"/>
    <mergeCell ref="G325:G325"/>
    <mergeCell ref="H325:H325"/>
    <mergeCell ref="M325:M325"/>
    <mergeCell ref="N325:N325"/>
    <mergeCell ref="O325:O325"/>
    <mergeCell ref="P325:P325"/>
    <mergeCell ref="Q325:Q325"/>
    <mergeCell ref="R325:R325"/>
    <mergeCell ref="S325:S325"/>
    <mergeCell ref="X325:X325"/>
    <mergeCell ref="Y325:Y325"/>
    <mergeCell ref="Z325:Z325"/>
    <mergeCell ref="AA325:AA325"/>
    <mergeCell ref="AB325:AB325"/>
    <mergeCell ref="AC325:AC325"/>
    <mergeCell ref="AD325:AD325"/>
    <mergeCell ref="AE325:AE325"/>
    <mergeCell ref="AF325:AF325"/>
    <mergeCell ref="A326:A326"/>
    <mergeCell ref="B326:B326"/>
    <mergeCell ref="C326:C326"/>
    <mergeCell ref="F326:F326"/>
    <mergeCell ref="G326:G326"/>
    <mergeCell ref="H326:H326"/>
    <mergeCell ref="M326:M326"/>
    <mergeCell ref="N326:N326"/>
    <mergeCell ref="O326:O326"/>
    <mergeCell ref="P326:P326"/>
    <mergeCell ref="Q326:Q326"/>
    <mergeCell ref="R326:R326"/>
    <mergeCell ref="S326:S326"/>
    <mergeCell ref="X326:X326"/>
    <mergeCell ref="Y326:Y326"/>
    <mergeCell ref="Z326:Z326"/>
    <mergeCell ref="AA326:AA326"/>
    <mergeCell ref="AB326:AB326"/>
    <mergeCell ref="AC326:AC326"/>
    <mergeCell ref="AD326:AD326"/>
    <mergeCell ref="AE326:AE326"/>
    <mergeCell ref="AF326:AF326"/>
    <mergeCell ref="A327:A327"/>
    <mergeCell ref="B327:B327"/>
    <mergeCell ref="C327:C327"/>
    <mergeCell ref="F327:F327"/>
    <mergeCell ref="G327:G327"/>
    <mergeCell ref="H327:H327"/>
    <mergeCell ref="M327:M327"/>
    <mergeCell ref="N327:N327"/>
    <mergeCell ref="O327:O327"/>
    <mergeCell ref="P327:P327"/>
    <mergeCell ref="Q327:Q327"/>
    <mergeCell ref="R327:R327"/>
    <mergeCell ref="S327:S327"/>
    <mergeCell ref="X327:X327"/>
    <mergeCell ref="Y327:Y327"/>
    <mergeCell ref="Z327:Z327"/>
    <mergeCell ref="AA327:AA327"/>
    <mergeCell ref="AB327:AB327"/>
    <mergeCell ref="AC327:AC327"/>
    <mergeCell ref="AD327:AD327"/>
    <mergeCell ref="AE327:AE327"/>
    <mergeCell ref="AF327:AF327"/>
    <mergeCell ref="A328:A328"/>
    <mergeCell ref="B328:B328"/>
    <mergeCell ref="C328:C328"/>
    <mergeCell ref="F328:F328"/>
    <mergeCell ref="G328:G328"/>
    <mergeCell ref="H328:H328"/>
    <mergeCell ref="M328:M328"/>
    <mergeCell ref="N328:N328"/>
    <mergeCell ref="O328:O328"/>
    <mergeCell ref="P328:P328"/>
    <mergeCell ref="Q328:Q328"/>
    <mergeCell ref="R328:R328"/>
    <mergeCell ref="S328:S328"/>
    <mergeCell ref="X328:X328"/>
    <mergeCell ref="Y328:Y328"/>
    <mergeCell ref="Z328:Z328"/>
    <mergeCell ref="AA328:AA328"/>
    <mergeCell ref="AB328:AB328"/>
    <mergeCell ref="AC328:AC328"/>
    <mergeCell ref="AD328:AD328"/>
    <mergeCell ref="AE328:AE328"/>
    <mergeCell ref="AF328:AF328"/>
    <mergeCell ref="A329:A329"/>
    <mergeCell ref="B329:B329"/>
    <mergeCell ref="C329:C329"/>
    <mergeCell ref="F329:F329"/>
    <mergeCell ref="G329:G329"/>
    <mergeCell ref="H329:H329"/>
    <mergeCell ref="M329:M329"/>
    <mergeCell ref="N329:N329"/>
    <mergeCell ref="O329:O329"/>
    <mergeCell ref="P329:P329"/>
    <mergeCell ref="Q329:Q329"/>
    <mergeCell ref="R329:R329"/>
    <mergeCell ref="S329:S329"/>
    <mergeCell ref="X329:X329"/>
    <mergeCell ref="Y329:Y329"/>
    <mergeCell ref="Z329:Z329"/>
    <mergeCell ref="AA329:AA329"/>
    <mergeCell ref="AB329:AB329"/>
    <mergeCell ref="AC329:AC329"/>
    <mergeCell ref="AD329:AD329"/>
    <mergeCell ref="AE329:AE329"/>
    <mergeCell ref="AF329:AF329"/>
    <mergeCell ref="A330:A330"/>
    <mergeCell ref="B330:B330"/>
    <mergeCell ref="C330:C330"/>
    <mergeCell ref="F330:F330"/>
    <mergeCell ref="G330:G330"/>
    <mergeCell ref="H330:H330"/>
    <mergeCell ref="M330:M330"/>
    <mergeCell ref="N330:N330"/>
    <mergeCell ref="O330:O330"/>
    <mergeCell ref="P330:P330"/>
    <mergeCell ref="Q330:Q330"/>
    <mergeCell ref="R330:R330"/>
    <mergeCell ref="S330:S330"/>
    <mergeCell ref="X330:X330"/>
    <mergeCell ref="Y330:Y330"/>
    <mergeCell ref="Z330:Z330"/>
    <mergeCell ref="AA330:AA330"/>
    <mergeCell ref="AB330:AB330"/>
    <mergeCell ref="AC330:AC330"/>
    <mergeCell ref="AD330:AD330"/>
    <mergeCell ref="AE330:AE330"/>
    <mergeCell ref="AF330:AF330"/>
    <mergeCell ref="A331:A331"/>
    <mergeCell ref="B331:B331"/>
    <mergeCell ref="C331:C331"/>
    <mergeCell ref="F331:F331"/>
    <mergeCell ref="G331:G331"/>
    <mergeCell ref="H331:H331"/>
    <mergeCell ref="M331:M331"/>
    <mergeCell ref="N331:N331"/>
    <mergeCell ref="O331:O331"/>
    <mergeCell ref="P331:P331"/>
    <mergeCell ref="Q331:Q331"/>
    <mergeCell ref="R331:R331"/>
    <mergeCell ref="S331:S331"/>
    <mergeCell ref="X331:X331"/>
    <mergeCell ref="Y331:Y331"/>
    <mergeCell ref="Z331:Z331"/>
    <mergeCell ref="AA331:AA331"/>
    <mergeCell ref="AB331:AB331"/>
    <mergeCell ref="AC331:AC331"/>
    <mergeCell ref="AD331:AD331"/>
    <mergeCell ref="AE331:AE331"/>
    <mergeCell ref="AF331:AF331"/>
    <mergeCell ref="A332:A332"/>
    <mergeCell ref="B332:B332"/>
    <mergeCell ref="C332:C332"/>
    <mergeCell ref="F332:F332"/>
    <mergeCell ref="G332:G332"/>
    <mergeCell ref="H332:H332"/>
    <mergeCell ref="M332:M332"/>
    <mergeCell ref="N332:N332"/>
    <mergeCell ref="O332:O332"/>
    <mergeCell ref="P332:P332"/>
    <mergeCell ref="Q332:Q332"/>
    <mergeCell ref="R332:R332"/>
    <mergeCell ref="S332:S332"/>
    <mergeCell ref="X332:X332"/>
    <mergeCell ref="Y332:Y332"/>
    <mergeCell ref="Z332:Z332"/>
    <mergeCell ref="AA332:AA332"/>
    <mergeCell ref="AB332:AB332"/>
    <mergeCell ref="AC332:AC332"/>
    <mergeCell ref="AD332:AD332"/>
    <mergeCell ref="AE332:AE332"/>
    <mergeCell ref="AF332:AF332"/>
    <mergeCell ref="A333:A333"/>
    <mergeCell ref="B333:B333"/>
    <mergeCell ref="C333:C333"/>
    <mergeCell ref="F333:F333"/>
    <mergeCell ref="G333:G333"/>
    <mergeCell ref="H333:H333"/>
    <mergeCell ref="M333:M333"/>
    <mergeCell ref="N333:N333"/>
    <mergeCell ref="O333:O333"/>
    <mergeCell ref="P333:P333"/>
    <mergeCell ref="Q333:Q333"/>
    <mergeCell ref="R333:R333"/>
    <mergeCell ref="S333:S333"/>
    <mergeCell ref="X333:X333"/>
    <mergeCell ref="Y333:Y333"/>
    <mergeCell ref="Z333:Z333"/>
    <mergeCell ref="AA333:AA333"/>
    <mergeCell ref="AB333:AB333"/>
    <mergeCell ref="AC333:AC333"/>
    <mergeCell ref="AD333:AD333"/>
    <mergeCell ref="AE333:AE333"/>
    <mergeCell ref="AF333:AF333"/>
    <mergeCell ref="A334:A334"/>
    <mergeCell ref="B334:B334"/>
    <mergeCell ref="C334:C334"/>
    <mergeCell ref="F334:F334"/>
    <mergeCell ref="G334:G334"/>
    <mergeCell ref="H334:H334"/>
    <mergeCell ref="M334:M334"/>
    <mergeCell ref="N334:N334"/>
    <mergeCell ref="O334:O334"/>
    <mergeCell ref="P334:P334"/>
    <mergeCell ref="Q334:Q334"/>
    <mergeCell ref="R334:R334"/>
    <mergeCell ref="S334:S334"/>
    <mergeCell ref="X334:X334"/>
    <mergeCell ref="Y334:Y334"/>
    <mergeCell ref="Z334:Z334"/>
    <mergeCell ref="AA334:AA334"/>
    <mergeCell ref="AB334:AB334"/>
    <mergeCell ref="AC334:AC334"/>
    <mergeCell ref="AD334:AD334"/>
    <mergeCell ref="AE334:AE334"/>
    <mergeCell ref="AF334:AF334"/>
    <mergeCell ref="A335:A335"/>
    <mergeCell ref="B335:B335"/>
    <mergeCell ref="C335:C335"/>
    <mergeCell ref="F335:F335"/>
    <mergeCell ref="G335:G335"/>
    <mergeCell ref="H335:H335"/>
    <mergeCell ref="M335:M335"/>
    <mergeCell ref="N335:N335"/>
    <mergeCell ref="O335:O335"/>
    <mergeCell ref="P335:P335"/>
    <mergeCell ref="Q335:Q335"/>
    <mergeCell ref="R335:R335"/>
    <mergeCell ref="S335:S335"/>
    <mergeCell ref="X335:X335"/>
    <mergeCell ref="Y335:Y335"/>
    <mergeCell ref="Z335:Z335"/>
    <mergeCell ref="AA335:AA335"/>
    <mergeCell ref="AB335:AB335"/>
    <mergeCell ref="AC335:AC335"/>
    <mergeCell ref="AD335:AD335"/>
    <mergeCell ref="AE335:AE335"/>
    <mergeCell ref="AF335:AF335"/>
    <mergeCell ref="A336:A336"/>
    <mergeCell ref="B336:B336"/>
    <mergeCell ref="C336:C336"/>
    <mergeCell ref="F336:F336"/>
    <mergeCell ref="G336:G336"/>
    <mergeCell ref="H336:H336"/>
    <mergeCell ref="M336:M336"/>
    <mergeCell ref="N336:N336"/>
    <mergeCell ref="O336:O336"/>
    <mergeCell ref="P336:P336"/>
    <mergeCell ref="Q336:Q336"/>
    <mergeCell ref="R336:R336"/>
    <mergeCell ref="S336:S336"/>
    <mergeCell ref="X336:X336"/>
    <mergeCell ref="Y336:Y336"/>
    <mergeCell ref="Z336:Z336"/>
    <mergeCell ref="AA336:AA336"/>
    <mergeCell ref="AB336:AB336"/>
    <mergeCell ref="AC336:AC336"/>
    <mergeCell ref="AD336:AD336"/>
    <mergeCell ref="AE336:AE336"/>
    <mergeCell ref="AF336:AF336"/>
    <mergeCell ref="A337:A337"/>
    <mergeCell ref="B337:B337"/>
    <mergeCell ref="C337:C337"/>
    <mergeCell ref="F337:F337"/>
    <mergeCell ref="G337:G337"/>
    <mergeCell ref="H337:H337"/>
    <mergeCell ref="M337:M337"/>
    <mergeCell ref="N337:N337"/>
    <mergeCell ref="O337:O337"/>
    <mergeCell ref="P337:P337"/>
    <mergeCell ref="Q337:Q337"/>
    <mergeCell ref="R337:R337"/>
    <mergeCell ref="S337:S337"/>
    <mergeCell ref="X337:X337"/>
    <mergeCell ref="Y337:Y337"/>
    <mergeCell ref="Z337:Z337"/>
    <mergeCell ref="AA337:AA337"/>
    <mergeCell ref="AB337:AB337"/>
    <mergeCell ref="AC337:AC337"/>
    <mergeCell ref="AD337:AD337"/>
    <mergeCell ref="AE337:AE337"/>
    <mergeCell ref="AF337:AF337"/>
    <mergeCell ref="A338:A338"/>
    <mergeCell ref="B338:B338"/>
    <mergeCell ref="C338:C338"/>
    <mergeCell ref="F338:F338"/>
    <mergeCell ref="G338:G338"/>
    <mergeCell ref="H338:H338"/>
    <mergeCell ref="M338:M338"/>
    <mergeCell ref="N338:N338"/>
    <mergeCell ref="O338:O338"/>
    <mergeCell ref="P338:P338"/>
    <mergeCell ref="Q338:Q338"/>
    <mergeCell ref="R338:R338"/>
    <mergeCell ref="S338:S338"/>
    <mergeCell ref="X338:X338"/>
    <mergeCell ref="Y338:Y338"/>
    <mergeCell ref="Z338:Z338"/>
    <mergeCell ref="AA338:AA338"/>
    <mergeCell ref="AB338:AB338"/>
    <mergeCell ref="AC338:AC338"/>
    <mergeCell ref="AD338:AD338"/>
    <mergeCell ref="AE338:AE338"/>
    <mergeCell ref="AF338:AF338"/>
    <mergeCell ref="A339:A339"/>
    <mergeCell ref="B339:B339"/>
    <mergeCell ref="C339:C339"/>
    <mergeCell ref="F339:F339"/>
    <mergeCell ref="G339:G339"/>
    <mergeCell ref="H339:H339"/>
    <mergeCell ref="M339:M339"/>
    <mergeCell ref="N339:N339"/>
    <mergeCell ref="O339:O339"/>
    <mergeCell ref="P339:P339"/>
    <mergeCell ref="Q339:Q339"/>
    <mergeCell ref="R339:R339"/>
    <mergeCell ref="S339:S339"/>
    <mergeCell ref="X339:X339"/>
    <mergeCell ref="Y339:Y339"/>
    <mergeCell ref="Z339:Z339"/>
    <mergeCell ref="AA339:AA339"/>
    <mergeCell ref="AB339:AB339"/>
    <mergeCell ref="AC339:AC339"/>
    <mergeCell ref="AD339:AD339"/>
    <mergeCell ref="AE339:AE339"/>
    <mergeCell ref="AF339:AF339"/>
    <mergeCell ref="A340:A340"/>
    <mergeCell ref="B340:B340"/>
    <mergeCell ref="C340:C340"/>
    <mergeCell ref="F340:F340"/>
    <mergeCell ref="G340:G340"/>
    <mergeCell ref="H340:H340"/>
    <mergeCell ref="M340:M340"/>
    <mergeCell ref="N340:N340"/>
    <mergeCell ref="O340:O340"/>
    <mergeCell ref="P340:P340"/>
    <mergeCell ref="Q340:Q340"/>
    <mergeCell ref="R340:R340"/>
    <mergeCell ref="S340:S340"/>
    <mergeCell ref="X340:X340"/>
    <mergeCell ref="Y340:Y340"/>
    <mergeCell ref="Z340:Z340"/>
    <mergeCell ref="AA340:AA340"/>
    <mergeCell ref="AB340:AB340"/>
    <mergeCell ref="AC340:AC340"/>
    <mergeCell ref="AD340:AD340"/>
    <mergeCell ref="AE340:AE340"/>
    <mergeCell ref="AF340:AF340"/>
    <mergeCell ref="A341:A341"/>
    <mergeCell ref="B341:B341"/>
    <mergeCell ref="C341:C341"/>
    <mergeCell ref="F341:F341"/>
    <mergeCell ref="G341:G341"/>
    <mergeCell ref="H341:H341"/>
    <mergeCell ref="M341:M341"/>
    <mergeCell ref="N341:N341"/>
    <mergeCell ref="O341:O341"/>
    <mergeCell ref="P341:P341"/>
    <mergeCell ref="Q341:Q341"/>
    <mergeCell ref="R341:R341"/>
    <mergeCell ref="S341:S341"/>
    <mergeCell ref="X341:X341"/>
    <mergeCell ref="Y341:Y341"/>
    <mergeCell ref="Z341:Z341"/>
    <mergeCell ref="AA341:AA341"/>
    <mergeCell ref="AB341:AB341"/>
    <mergeCell ref="AC341:AC341"/>
    <mergeCell ref="AD341:AD341"/>
    <mergeCell ref="AE341:AE341"/>
    <mergeCell ref="AF341:AF341"/>
    <mergeCell ref="A342:A342"/>
    <mergeCell ref="B342:B342"/>
    <mergeCell ref="C342:C342"/>
    <mergeCell ref="F342:F342"/>
    <mergeCell ref="G342:G342"/>
    <mergeCell ref="H342:H342"/>
    <mergeCell ref="M342:M342"/>
    <mergeCell ref="N342:N342"/>
    <mergeCell ref="O342:O342"/>
    <mergeCell ref="P342:P342"/>
    <mergeCell ref="Q342:Q342"/>
    <mergeCell ref="R342:R342"/>
    <mergeCell ref="S342:S342"/>
    <mergeCell ref="X342:X342"/>
    <mergeCell ref="Y342:Y342"/>
    <mergeCell ref="Z342:Z342"/>
    <mergeCell ref="AA342:AA342"/>
    <mergeCell ref="AB342:AB342"/>
    <mergeCell ref="AC342:AC342"/>
    <mergeCell ref="AD342:AD342"/>
    <mergeCell ref="AE342:AE342"/>
    <mergeCell ref="AF342:AF342"/>
    <mergeCell ref="A343:A343"/>
    <mergeCell ref="B343:B343"/>
    <mergeCell ref="C343:C343"/>
    <mergeCell ref="F343:F343"/>
    <mergeCell ref="G343:G343"/>
    <mergeCell ref="H343:H343"/>
    <mergeCell ref="M343:M343"/>
    <mergeCell ref="N343:N343"/>
    <mergeCell ref="O343:O343"/>
    <mergeCell ref="P343:P343"/>
    <mergeCell ref="Q343:Q343"/>
    <mergeCell ref="R343:R343"/>
    <mergeCell ref="S343:S343"/>
    <mergeCell ref="X343:X343"/>
    <mergeCell ref="Y343:Y343"/>
    <mergeCell ref="Z343:Z343"/>
    <mergeCell ref="AA343:AA343"/>
    <mergeCell ref="AB343:AB343"/>
    <mergeCell ref="AC343:AC343"/>
    <mergeCell ref="AD343:AD343"/>
    <mergeCell ref="AE343:AE343"/>
    <mergeCell ref="AF343:AF343"/>
    <mergeCell ref="A344:A344"/>
    <mergeCell ref="B344:B344"/>
    <mergeCell ref="C344:C344"/>
    <mergeCell ref="F344:F344"/>
    <mergeCell ref="G344:G344"/>
    <mergeCell ref="H344:H344"/>
    <mergeCell ref="M344:M344"/>
    <mergeCell ref="N344:N344"/>
    <mergeCell ref="O344:O344"/>
    <mergeCell ref="P344:P344"/>
    <mergeCell ref="Q344:Q344"/>
    <mergeCell ref="R344:R344"/>
    <mergeCell ref="S344:S344"/>
    <mergeCell ref="X344:X344"/>
    <mergeCell ref="Y344:Y344"/>
    <mergeCell ref="Z344:Z344"/>
    <mergeCell ref="AA344:AA344"/>
    <mergeCell ref="AB344:AB344"/>
    <mergeCell ref="AC344:AC344"/>
    <mergeCell ref="AD344:AD344"/>
    <mergeCell ref="AE344:AE344"/>
    <mergeCell ref="AF344:AF344"/>
    <mergeCell ref="A345:A345"/>
    <mergeCell ref="B345:B345"/>
    <mergeCell ref="C345:C345"/>
    <mergeCell ref="F345:F345"/>
    <mergeCell ref="G345:G345"/>
    <mergeCell ref="H345:H345"/>
    <mergeCell ref="M345:M345"/>
    <mergeCell ref="N345:N345"/>
    <mergeCell ref="O345:O345"/>
    <mergeCell ref="P345:P345"/>
    <mergeCell ref="Q345:Q345"/>
    <mergeCell ref="R345:R345"/>
    <mergeCell ref="S345:S345"/>
    <mergeCell ref="X345:X345"/>
    <mergeCell ref="Y345:Y345"/>
    <mergeCell ref="Z345:Z345"/>
    <mergeCell ref="AA345:AA345"/>
    <mergeCell ref="AB345:AB345"/>
    <mergeCell ref="AC345:AC345"/>
    <mergeCell ref="AD345:AD345"/>
    <mergeCell ref="AE345:AE345"/>
    <mergeCell ref="AF345:AF345"/>
    <mergeCell ref="A346:A346"/>
    <mergeCell ref="B346:B346"/>
    <mergeCell ref="C346:C346"/>
    <mergeCell ref="F346:F346"/>
    <mergeCell ref="G346:G346"/>
    <mergeCell ref="H346:H346"/>
    <mergeCell ref="M346:M346"/>
    <mergeCell ref="N346:N346"/>
    <mergeCell ref="O346:O346"/>
    <mergeCell ref="P346:P346"/>
    <mergeCell ref="Q346:Q346"/>
    <mergeCell ref="R346:R346"/>
    <mergeCell ref="S346:S346"/>
    <mergeCell ref="X346:X346"/>
    <mergeCell ref="Y346:Y346"/>
    <mergeCell ref="Z346:Z346"/>
    <mergeCell ref="AA346:AA346"/>
    <mergeCell ref="AB346:AB346"/>
    <mergeCell ref="AC346:AC346"/>
    <mergeCell ref="AD346:AD346"/>
    <mergeCell ref="AE346:AE346"/>
    <mergeCell ref="AF346:AF346"/>
    <mergeCell ref="A347:A347"/>
    <mergeCell ref="B347:B347"/>
    <mergeCell ref="C347:C347"/>
    <mergeCell ref="F347:F347"/>
    <mergeCell ref="G347:G347"/>
    <mergeCell ref="H347:H347"/>
    <mergeCell ref="M347:M347"/>
    <mergeCell ref="N347:N347"/>
    <mergeCell ref="O347:O347"/>
    <mergeCell ref="P347:P347"/>
    <mergeCell ref="Q347:Q347"/>
    <mergeCell ref="R347:R347"/>
    <mergeCell ref="S347:S347"/>
    <mergeCell ref="X347:X347"/>
    <mergeCell ref="Y347:Y347"/>
    <mergeCell ref="Z347:Z347"/>
    <mergeCell ref="AA347:AA347"/>
    <mergeCell ref="AB347:AB347"/>
    <mergeCell ref="AC347:AC347"/>
    <mergeCell ref="AD347:AD347"/>
    <mergeCell ref="AE347:AE347"/>
    <mergeCell ref="AF347:AF347"/>
    <mergeCell ref="A348:A348"/>
    <mergeCell ref="B348:B348"/>
    <mergeCell ref="C348:C348"/>
    <mergeCell ref="F348:F348"/>
    <mergeCell ref="G348:G348"/>
    <mergeCell ref="H348:H348"/>
    <mergeCell ref="M348:M348"/>
    <mergeCell ref="N348:N348"/>
    <mergeCell ref="O348:O348"/>
    <mergeCell ref="P348:P348"/>
    <mergeCell ref="Q348:Q348"/>
    <mergeCell ref="R348:R348"/>
    <mergeCell ref="S348:S348"/>
    <mergeCell ref="X348:X348"/>
    <mergeCell ref="Y348:Y348"/>
    <mergeCell ref="Z348:Z348"/>
    <mergeCell ref="AA348:AA348"/>
    <mergeCell ref="AB348:AB348"/>
    <mergeCell ref="AC348:AC348"/>
    <mergeCell ref="AD348:AD348"/>
    <mergeCell ref="AE348:AE348"/>
    <mergeCell ref="AF348:AF348"/>
    <mergeCell ref="A349:A349"/>
    <mergeCell ref="B349:B349"/>
    <mergeCell ref="C349:C349"/>
    <mergeCell ref="F349:F349"/>
    <mergeCell ref="G349:G349"/>
    <mergeCell ref="H349:H349"/>
    <mergeCell ref="M349:M349"/>
    <mergeCell ref="N349:N349"/>
    <mergeCell ref="O349:O349"/>
    <mergeCell ref="P349:P349"/>
    <mergeCell ref="Q349:Q349"/>
    <mergeCell ref="R349:R349"/>
    <mergeCell ref="S349:S349"/>
    <mergeCell ref="X349:X349"/>
    <mergeCell ref="Y349:Y349"/>
    <mergeCell ref="Z349:Z349"/>
    <mergeCell ref="AA349:AA349"/>
    <mergeCell ref="AB349:AB349"/>
    <mergeCell ref="AC349:AC349"/>
    <mergeCell ref="AD349:AD349"/>
    <mergeCell ref="AE349:AE349"/>
    <mergeCell ref="AF349:AF349"/>
    <mergeCell ref="A350:A350"/>
    <mergeCell ref="B350:B350"/>
    <mergeCell ref="C350:C350"/>
    <mergeCell ref="F350:F350"/>
    <mergeCell ref="G350:G350"/>
    <mergeCell ref="H350:H350"/>
    <mergeCell ref="M350:M350"/>
    <mergeCell ref="N350:N350"/>
    <mergeCell ref="O350:O350"/>
    <mergeCell ref="P350:P350"/>
    <mergeCell ref="Q350:Q350"/>
    <mergeCell ref="R350:R350"/>
    <mergeCell ref="S350:S350"/>
    <mergeCell ref="X350:X350"/>
    <mergeCell ref="Y350:Y350"/>
    <mergeCell ref="Z350:Z350"/>
    <mergeCell ref="AA350:AA350"/>
    <mergeCell ref="AB350:AB350"/>
    <mergeCell ref="AC350:AC350"/>
    <mergeCell ref="AD350:AD350"/>
    <mergeCell ref="AE350:AE350"/>
    <mergeCell ref="AF350:AF350"/>
    <mergeCell ref="A351:A351"/>
    <mergeCell ref="B351:B351"/>
    <mergeCell ref="C351:C351"/>
    <mergeCell ref="F351:F351"/>
    <mergeCell ref="G351:G351"/>
    <mergeCell ref="H351:H351"/>
    <mergeCell ref="M351:M351"/>
    <mergeCell ref="N351:N351"/>
    <mergeCell ref="O351:O351"/>
    <mergeCell ref="P351:P351"/>
    <mergeCell ref="Q351:Q351"/>
    <mergeCell ref="R351:R351"/>
    <mergeCell ref="S351:S351"/>
    <mergeCell ref="X351:X351"/>
    <mergeCell ref="Y351:Y351"/>
    <mergeCell ref="Z351:Z351"/>
    <mergeCell ref="AA351:AA351"/>
    <mergeCell ref="AB351:AB351"/>
    <mergeCell ref="AC351:AC351"/>
    <mergeCell ref="AD351:AD351"/>
    <mergeCell ref="AE351:AE351"/>
    <mergeCell ref="AF351:AF351"/>
    <mergeCell ref="A352:A352"/>
    <mergeCell ref="B352:B352"/>
    <mergeCell ref="C352:C352"/>
    <mergeCell ref="F352:F352"/>
    <mergeCell ref="G352:G352"/>
    <mergeCell ref="H352:H352"/>
    <mergeCell ref="M352:M352"/>
    <mergeCell ref="N352:N352"/>
    <mergeCell ref="O352:O352"/>
    <mergeCell ref="P352:P352"/>
    <mergeCell ref="Q352:Q352"/>
    <mergeCell ref="R352:R352"/>
    <mergeCell ref="S352:S352"/>
    <mergeCell ref="X352:X352"/>
    <mergeCell ref="Y352:Y352"/>
    <mergeCell ref="Z352:Z352"/>
    <mergeCell ref="AA352:AA352"/>
    <mergeCell ref="AB352:AB352"/>
    <mergeCell ref="AC352:AC352"/>
    <mergeCell ref="AD352:AD352"/>
    <mergeCell ref="AE352:AE352"/>
    <mergeCell ref="AF352:AF352"/>
    <mergeCell ref="A353:A353"/>
    <mergeCell ref="B353:B353"/>
    <mergeCell ref="C353:C353"/>
    <mergeCell ref="F353:F353"/>
    <mergeCell ref="G353:G353"/>
    <mergeCell ref="H353:H353"/>
    <mergeCell ref="M353:M353"/>
    <mergeCell ref="N353:N353"/>
    <mergeCell ref="O353:O353"/>
    <mergeCell ref="P353:P353"/>
    <mergeCell ref="Q353:Q353"/>
    <mergeCell ref="R353:R353"/>
    <mergeCell ref="S353:S353"/>
    <mergeCell ref="X353:X353"/>
    <mergeCell ref="Y353:Y353"/>
    <mergeCell ref="Z353:Z353"/>
    <mergeCell ref="AA353:AA353"/>
    <mergeCell ref="AB353:AB353"/>
    <mergeCell ref="AC353:AC353"/>
    <mergeCell ref="AD353:AD353"/>
    <mergeCell ref="AE353:AE353"/>
    <mergeCell ref="AF353:AF353"/>
    <mergeCell ref="A354:A354"/>
    <mergeCell ref="B354:B354"/>
    <mergeCell ref="C354:C354"/>
    <mergeCell ref="F354:F354"/>
    <mergeCell ref="G354:G354"/>
    <mergeCell ref="H354:H354"/>
    <mergeCell ref="M354:M354"/>
    <mergeCell ref="N354:N354"/>
    <mergeCell ref="O354:O354"/>
    <mergeCell ref="P354:P354"/>
    <mergeCell ref="Q354:Q354"/>
    <mergeCell ref="R354:R354"/>
    <mergeCell ref="S354:S354"/>
    <mergeCell ref="X354:X354"/>
    <mergeCell ref="Y354:Y354"/>
    <mergeCell ref="Z354:Z354"/>
    <mergeCell ref="AA354:AA354"/>
    <mergeCell ref="AB354:AB354"/>
    <mergeCell ref="AC354:AC354"/>
    <mergeCell ref="AD354:AD354"/>
    <mergeCell ref="AE354:AE354"/>
    <mergeCell ref="AF354:AF354"/>
    <mergeCell ref="A355:A355"/>
    <mergeCell ref="B355:B355"/>
    <mergeCell ref="C355:C355"/>
    <mergeCell ref="F355:F355"/>
    <mergeCell ref="G355:G355"/>
    <mergeCell ref="H355:H355"/>
    <mergeCell ref="M355:M355"/>
    <mergeCell ref="N355:N355"/>
    <mergeCell ref="O355:O355"/>
    <mergeCell ref="P355:P355"/>
    <mergeCell ref="Q355:Q355"/>
    <mergeCell ref="R355:R355"/>
    <mergeCell ref="S355:S355"/>
    <mergeCell ref="X355:X355"/>
    <mergeCell ref="Y355:Y355"/>
    <mergeCell ref="Z355:Z355"/>
    <mergeCell ref="AA355:AA355"/>
    <mergeCell ref="AB355:AB355"/>
    <mergeCell ref="AC355:AC355"/>
    <mergeCell ref="AD355:AD355"/>
    <mergeCell ref="AE355:AE355"/>
    <mergeCell ref="AF355:AF355"/>
    <mergeCell ref="A356:A356"/>
    <mergeCell ref="B356:B356"/>
    <mergeCell ref="C356:C356"/>
    <mergeCell ref="F356:F356"/>
    <mergeCell ref="G356:G356"/>
    <mergeCell ref="H356:H356"/>
    <mergeCell ref="M356:M356"/>
    <mergeCell ref="N356:N356"/>
    <mergeCell ref="O356:O356"/>
    <mergeCell ref="P356:P356"/>
    <mergeCell ref="Q356:Q356"/>
    <mergeCell ref="R356:R356"/>
    <mergeCell ref="S356:S356"/>
    <mergeCell ref="X356:X356"/>
    <mergeCell ref="Y356:Y356"/>
    <mergeCell ref="Z356:Z356"/>
    <mergeCell ref="AA356:AA356"/>
    <mergeCell ref="AB356:AB356"/>
    <mergeCell ref="AC356:AC356"/>
    <mergeCell ref="AD356:AD356"/>
    <mergeCell ref="AE356:AE356"/>
    <mergeCell ref="AF356:AF356"/>
    <mergeCell ref="A357:A357"/>
    <mergeCell ref="B357:B357"/>
    <mergeCell ref="C357:C357"/>
    <mergeCell ref="F357:F357"/>
    <mergeCell ref="G357:G357"/>
    <mergeCell ref="H357:H357"/>
    <mergeCell ref="M357:M357"/>
    <mergeCell ref="N357:N357"/>
    <mergeCell ref="O357:O357"/>
    <mergeCell ref="P357:P357"/>
    <mergeCell ref="Q357:Q357"/>
    <mergeCell ref="R357:R357"/>
    <mergeCell ref="S357:S357"/>
    <mergeCell ref="X357:X357"/>
    <mergeCell ref="Y357:Y357"/>
    <mergeCell ref="Z357:Z357"/>
    <mergeCell ref="AA357:AA357"/>
    <mergeCell ref="AB357:AB357"/>
    <mergeCell ref="AC357:AC357"/>
    <mergeCell ref="AD357:AD357"/>
    <mergeCell ref="AE357:AE357"/>
    <mergeCell ref="AF357:AF357"/>
    <mergeCell ref="A358:A358"/>
    <mergeCell ref="B358:B358"/>
    <mergeCell ref="C358:C358"/>
    <mergeCell ref="F358:F358"/>
    <mergeCell ref="G358:G358"/>
    <mergeCell ref="H358:H358"/>
    <mergeCell ref="M358:M358"/>
    <mergeCell ref="N358:N358"/>
    <mergeCell ref="O358:O358"/>
    <mergeCell ref="P358:P358"/>
    <mergeCell ref="Q358:Q358"/>
    <mergeCell ref="R358:R358"/>
    <mergeCell ref="S358:S358"/>
    <mergeCell ref="X358:X358"/>
    <mergeCell ref="Y358:Y358"/>
    <mergeCell ref="Z358:Z358"/>
    <mergeCell ref="AA358:AA358"/>
    <mergeCell ref="AB358:AB358"/>
    <mergeCell ref="AC358:AC358"/>
    <mergeCell ref="AD358:AD358"/>
    <mergeCell ref="AE358:AE358"/>
    <mergeCell ref="AF358:AF358"/>
    <mergeCell ref="A359:A359"/>
    <mergeCell ref="B359:B359"/>
    <mergeCell ref="C359:C359"/>
    <mergeCell ref="F359:F359"/>
    <mergeCell ref="G359:G359"/>
    <mergeCell ref="H359:H359"/>
    <mergeCell ref="M359:M359"/>
    <mergeCell ref="N359:N359"/>
    <mergeCell ref="O359:O359"/>
    <mergeCell ref="P359:P359"/>
    <mergeCell ref="Q359:Q359"/>
    <mergeCell ref="R359:R359"/>
    <mergeCell ref="S359:S359"/>
    <mergeCell ref="X359:X359"/>
    <mergeCell ref="Y359:Y359"/>
    <mergeCell ref="Z359:Z359"/>
    <mergeCell ref="AA359:AA359"/>
    <mergeCell ref="AB359:AB359"/>
    <mergeCell ref="AC359:AC359"/>
    <mergeCell ref="AD359:AD359"/>
    <mergeCell ref="AE359:AE359"/>
    <mergeCell ref="AF359:AF359"/>
    <mergeCell ref="A360:A360"/>
    <mergeCell ref="B360:B360"/>
    <mergeCell ref="C360:C360"/>
    <mergeCell ref="F360:F360"/>
    <mergeCell ref="G360:G360"/>
    <mergeCell ref="H360:H360"/>
    <mergeCell ref="M360:M360"/>
    <mergeCell ref="N360:N360"/>
    <mergeCell ref="O360:O360"/>
    <mergeCell ref="P360:P360"/>
    <mergeCell ref="Q360:Q360"/>
    <mergeCell ref="R360:R360"/>
    <mergeCell ref="S360:S360"/>
    <mergeCell ref="X360:X360"/>
    <mergeCell ref="Y360:Y360"/>
    <mergeCell ref="Z360:Z360"/>
    <mergeCell ref="AA360:AA360"/>
    <mergeCell ref="AB360:AB360"/>
    <mergeCell ref="AC360:AC360"/>
    <mergeCell ref="AD360:AD360"/>
    <mergeCell ref="AE360:AE360"/>
    <mergeCell ref="AF360:AF360"/>
    <mergeCell ref="A361:A361"/>
    <mergeCell ref="B361:B361"/>
    <mergeCell ref="C361:C361"/>
    <mergeCell ref="F361:F361"/>
    <mergeCell ref="G361:G361"/>
    <mergeCell ref="H361:H361"/>
    <mergeCell ref="M361:M361"/>
    <mergeCell ref="N361:N361"/>
    <mergeCell ref="O361:O361"/>
    <mergeCell ref="P361:P361"/>
    <mergeCell ref="Q361:Q361"/>
    <mergeCell ref="R361:R361"/>
    <mergeCell ref="S361:S361"/>
    <mergeCell ref="X361:X361"/>
    <mergeCell ref="Y361:Y361"/>
    <mergeCell ref="Z361:Z361"/>
    <mergeCell ref="AA361:AA361"/>
    <mergeCell ref="AB361:AB361"/>
    <mergeCell ref="AC361:AC361"/>
    <mergeCell ref="AD361:AD361"/>
    <mergeCell ref="AE361:AE361"/>
    <mergeCell ref="AF361:AF361"/>
    <mergeCell ref="A362:A362"/>
    <mergeCell ref="B362:B362"/>
    <mergeCell ref="C362:C362"/>
    <mergeCell ref="F362:F362"/>
    <mergeCell ref="G362:G362"/>
    <mergeCell ref="H362:H362"/>
    <mergeCell ref="M362:M362"/>
    <mergeCell ref="N362:N362"/>
    <mergeCell ref="O362:O362"/>
    <mergeCell ref="P362:P362"/>
    <mergeCell ref="Q362:Q362"/>
    <mergeCell ref="R362:R362"/>
    <mergeCell ref="S362:S362"/>
    <mergeCell ref="X362:X362"/>
    <mergeCell ref="Y362:Y362"/>
    <mergeCell ref="Z362:Z362"/>
    <mergeCell ref="AA362:AA362"/>
    <mergeCell ref="AB362:AB362"/>
    <mergeCell ref="AC362:AC362"/>
    <mergeCell ref="AD362:AD362"/>
    <mergeCell ref="AE362:AE362"/>
    <mergeCell ref="AF362:AF362"/>
    <mergeCell ref="A363:A363"/>
    <mergeCell ref="B363:B363"/>
    <mergeCell ref="C363:C363"/>
    <mergeCell ref="F363:F363"/>
    <mergeCell ref="G363:G363"/>
    <mergeCell ref="H363:H363"/>
    <mergeCell ref="M363:M363"/>
    <mergeCell ref="N363:N363"/>
    <mergeCell ref="O363:O363"/>
    <mergeCell ref="P363:P363"/>
    <mergeCell ref="Q363:Q363"/>
    <mergeCell ref="R363:R363"/>
    <mergeCell ref="S363:S363"/>
    <mergeCell ref="X363:X363"/>
    <mergeCell ref="Y363:Y363"/>
    <mergeCell ref="Z363:Z363"/>
    <mergeCell ref="AA363:AA363"/>
    <mergeCell ref="AB363:AB363"/>
    <mergeCell ref="AC363:AC363"/>
    <mergeCell ref="AD363:AD363"/>
    <mergeCell ref="AE363:AE363"/>
    <mergeCell ref="AF363:AF363"/>
    <mergeCell ref="A364:A364"/>
    <mergeCell ref="B364:B364"/>
    <mergeCell ref="C364:C364"/>
    <mergeCell ref="F364:F364"/>
    <mergeCell ref="G364:G364"/>
    <mergeCell ref="H364:H364"/>
    <mergeCell ref="M364:M364"/>
    <mergeCell ref="N364:N364"/>
    <mergeCell ref="O364:O364"/>
    <mergeCell ref="P364:P364"/>
    <mergeCell ref="Q364:Q364"/>
    <mergeCell ref="R364:R364"/>
    <mergeCell ref="S364:S364"/>
    <mergeCell ref="X364:X364"/>
    <mergeCell ref="Y364:Y364"/>
    <mergeCell ref="Z364:Z364"/>
    <mergeCell ref="AA364:AA364"/>
    <mergeCell ref="AB364:AB364"/>
    <mergeCell ref="AC364:AC364"/>
    <mergeCell ref="AD364:AD364"/>
    <mergeCell ref="AE364:AE364"/>
    <mergeCell ref="AF364:AF364"/>
    <mergeCell ref="A365:A365"/>
    <mergeCell ref="B365:B365"/>
    <mergeCell ref="C365:C365"/>
    <mergeCell ref="F365:F365"/>
    <mergeCell ref="G365:G365"/>
    <mergeCell ref="H365:H365"/>
    <mergeCell ref="M365:M365"/>
    <mergeCell ref="N365:N365"/>
    <mergeCell ref="O365:O365"/>
    <mergeCell ref="P365:P365"/>
    <mergeCell ref="Q365:Q365"/>
    <mergeCell ref="R365:R365"/>
    <mergeCell ref="S365:S365"/>
    <mergeCell ref="X365:X365"/>
    <mergeCell ref="Y365:Y365"/>
    <mergeCell ref="Z365:Z365"/>
    <mergeCell ref="AA365:AA365"/>
    <mergeCell ref="AB365:AB365"/>
    <mergeCell ref="AC365:AC365"/>
    <mergeCell ref="AD365:AD365"/>
    <mergeCell ref="AE365:AE365"/>
    <mergeCell ref="AF365:AF365"/>
    <mergeCell ref="A366:A366"/>
    <mergeCell ref="B366:B366"/>
    <mergeCell ref="C366:C366"/>
    <mergeCell ref="F366:F366"/>
    <mergeCell ref="G366:G366"/>
    <mergeCell ref="H366:H366"/>
    <mergeCell ref="M366:M366"/>
    <mergeCell ref="N366:N366"/>
    <mergeCell ref="O366:O366"/>
    <mergeCell ref="P366:P366"/>
    <mergeCell ref="Q366:Q366"/>
    <mergeCell ref="R366:R366"/>
    <mergeCell ref="S366:S366"/>
    <mergeCell ref="X366:X366"/>
    <mergeCell ref="Y366:Y366"/>
    <mergeCell ref="Z366:Z366"/>
    <mergeCell ref="AA366:AA366"/>
    <mergeCell ref="AB366:AB366"/>
    <mergeCell ref="AC366:AC366"/>
    <mergeCell ref="AD366:AD366"/>
    <mergeCell ref="AE366:AE366"/>
    <mergeCell ref="AF366:AF366"/>
    <mergeCell ref="A367:A367"/>
    <mergeCell ref="B367:B367"/>
    <mergeCell ref="C367:C367"/>
    <mergeCell ref="F367:F367"/>
    <mergeCell ref="G367:G367"/>
    <mergeCell ref="H367:H367"/>
    <mergeCell ref="M367:M367"/>
    <mergeCell ref="N367:N367"/>
    <mergeCell ref="O367:O367"/>
    <mergeCell ref="P367:P367"/>
    <mergeCell ref="Q367:Q367"/>
    <mergeCell ref="R367:R367"/>
    <mergeCell ref="S367:S367"/>
    <mergeCell ref="X367:X367"/>
    <mergeCell ref="Y367:Y367"/>
    <mergeCell ref="Z367:Z367"/>
    <mergeCell ref="AA367:AA367"/>
    <mergeCell ref="AB367:AB367"/>
    <mergeCell ref="AC367:AC367"/>
    <mergeCell ref="AD367:AD367"/>
    <mergeCell ref="AE367:AE367"/>
    <mergeCell ref="AF367:AF367"/>
    <mergeCell ref="A368:A368"/>
    <mergeCell ref="B368:B368"/>
    <mergeCell ref="C368:C368"/>
    <mergeCell ref="F368:F368"/>
    <mergeCell ref="G368:G368"/>
    <mergeCell ref="H368:H368"/>
    <mergeCell ref="M368:M368"/>
    <mergeCell ref="N368:N368"/>
    <mergeCell ref="O368:O368"/>
    <mergeCell ref="P368:P368"/>
    <mergeCell ref="Q368:Q368"/>
    <mergeCell ref="R368:R368"/>
    <mergeCell ref="S368:S368"/>
    <mergeCell ref="X368:X368"/>
    <mergeCell ref="Y368:Y368"/>
    <mergeCell ref="Z368:Z368"/>
    <mergeCell ref="AA368:AA368"/>
    <mergeCell ref="AB368:AB368"/>
    <mergeCell ref="AC368:AC368"/>
    <mergeCell ref="AD368:AD368"/>
    <mergeCell ref="AE368:AE368"/>
    <mergeCell ref="AF368:AF368"/>
    <mergeCell ref="A369:A369"/>
    <mergeCell ref="B369:B369"/>
    <mergeCell ref="C369:C369"/>
    <mergeCell ref="F369:F369"/>
    <mergeCell ref="G369:G369"/>
    <mergeCell ref="H369:H369"/>
    <mergeCell ref="M369:M369"/>
    <mergeCell ref="N369:N369"/>
    <mergeCell ref="O369:O369"/>
    <mergeCell ref="P369:P369"/>
    <mergeCell ref="Q369:Q369"/>
    <mergeCell ref="R369:R369"/>
    <mergeCell ref="S369:S369"/>
    <mergeCell ref="X369:X369"/>
    <mergeCell ref="Y369:Y369"/>
    <mergeCell ref="Z369:Z369"/>
    <mergeCell ref="AA369:AA369"/>
    <mergeCell ref="AB369:AB369"/>
    <mergeCell ref="AC369:AC369"/>
    <mergeCell ref="AD369:AD369"/>
    <mergeCell ref="AE369:AE369"/>
    <mergeCell ref="AF369:AF369"/>
    <mergeCell ref="A370:A370"/>
    <mergeCell ref="B370:B370"/>
    <mergeCell ref="C370:C370"/>
    <mergeCell ref="F370:F370"/>
    <mergeCell ref="G370:G370"/>
    <mergeCell ref="H370:H370"/>
    <mergeCell ref="M370:M370"/>
    <mergeCell ref="N370:N370"/>
    <mergeCell ref="O370:O370"/>
    <mergeCell ref="P370:P370"/>
    <mergeCell ref="Q370:Q370"/>
    <mergeCell ref="R370:R370"/>
    <mergeCell ref="S370:S370"/>
    <mergeCell ref="X370:X370"/>
    <mergeCell ref="Y370:Y370"/>
    <mergeCell ref="Z370:Z370"/>
    <mergeCell ref="AA370:AA370"/>
    <mergeCell ref="AB370:AB370"/>
    <mergeCell ref="AC370:AC370"/>
    <mergeCell ref="AD370:AD370"/>
    <mergeCell ref="AE370:AE370"/>
    <mergeCell ref="AF370:AF370"/>
    <mergeCell ref="A371:A371"/>
    <mergeCell ref="B371:B371"/>
    <mergeCell ref="C371:C371"/>
    <mergeCell ref="F371:F371"/>
    <mergeCell ref="G371:G371"/>
    <mergeCell ref="H371:H371"/>
    <mergeCell ref="M371:M371"/>
    <mergeCell ref="N371:N371"/>
    <mergeCell ref="O371:O371"/>
    <mergeCell ref="P371:P371"/>
    <mergeCell ref="Q371:Q371"/>
    <mergeCell ref="R371:R371"/>
    <mergeCell ref="S371:S371"/>
    <mergeCell ref="X371:X371"/>
    <mergeCell ref="Y371:Y371"/>
    <mergeCell ref="Z371:Z371"/>
    <mergeCell ref="AA371:AA371"/>
    <mergeCell ref="AB371:AB371"/>
    <mergeCell ref="AC371:AC371"/>
    <mergeCell ref="AD371:AD371"/>
    <mergeCell ref="AE371:AE371"/>
    <mergeCell ref="AF371:AF371"/>
    <mergeCell ref="A372:A372"/>
    <mergeCell ref="B372:B372"/>
    <mergeCell ref="C372:C372"/>
    <mergeCell ref="F372:F372"/>
    <mergeCell ref="G372:G372"/>
    <mergeCell ref="H372:H372"/>
    <mergeCell ref="M372:M372"/>
    <mergeCell ref="N372:N372"/>
    <mergeCell ref="O372:O372"/>
    <mergeCell ref="P372:P372"/>
    <mergeCell ref="Q372:Q372"/>
    <mergeCell ref="R372:R372"/>
    <mergeCell ref="S372:S372"/>
    <mergeCell ref="X372:X372"/>
    <mergeCell ref="Y372:Y372"/>
    <mergeCell ref="Z372:Z372"/>
    <mergeCell ref="AA372:AA372"/>
    <mergeCell ref="AB372:AB372"/>
    <mergeCell ref="AC372:AC372"/>
    <mergeCell ref="AD372:AD372"/>
    <mergeCell ref="AE372:AE372"/>
    <mergeCell ref="AF372:AF372"/>
    <mergeCell ref="A373:A373"/>
    <mergeCell ref="B373:B373"/>
    <mergeCell ref="C373:C373"/>
    <mergeCell ref="F373:F373"/>
    <mergeCell ref="G373:G373"/>
    <mergeCell ref="H373:H373"/>
    <mergeCell ref="M373:M373"/>
    <mergeCell ref="N373:N373"/>
    <mergeCell ref="O373:O373"/>
    <mergeCell ref="P373:P373"/>
    <mergeCell ref="Q373:Q373"/>
    <mergeCell ref="R373:R373"/>
    <mergeCell ref="S373:S373"/>
    <mergeCell ref="X373:X373"/>
    <mergeCell ref="Y373:Y373"/>
    <mergeCell ref="Z373:Z373"/>
    <mergeCell ref="AA373:AA373"/>
    <mergeCell ref="AB373:AB373"/>
    <mergeCell ref="AC373:AC373"/>
    <mergeCell ref="AD373:AD373"/>
    <mergeCell ref="AE373:AE373"/>
    <mergeCell ref="AF373:AF373"/>
    <mergeCell ref="A374:A374"/>
    <mergeCell ref="B374:B374"/>
    <mergeCell ref="C374:C374"/>
    <mergeCell ref="F374:F374"/>
    <mergeCell ref="G374:G374"/>
    <mergeCell ref="H374:H374"/>
    <mergeCell ref="M374:M374"/>
    <mergeCell ref="N374:N374"/>
    <mergeCell ref="O374:O374"/>
    <mergeCell ref="P374:P374"/>
    <mergeCell ref="Q374:Q374"/>
    <mergeCell ref="R374:R374"/>
    <mergeCell ref="S374:S374"/>
    <mergeCell ref="X374:X374"/>
    <mergeCell ref="Y374:Y374"/>
    <mergeCell ref="Z374:Z374"/>
    <mergeCell ref="AA374:AA374"/>
    <mergeCell ref="AB374:AB374"/>
    <mergeCell ref="AC374:AC374"/>
    <mergeCell ref="AD374:AD374"/>
    <mergeCell ref="AE374:AE374"/>
    <mergeCell ref="AF374:AF374"/>
    <mergeCell ref="A375:A375"/>
    <mergeCell ref="B375:B375"/>
    <mergeCell ref="C375:C375"/>
    <mergeCell ref="F375:F375"/>
    <mergeCell ref="G375:G375"/>
    <mergeCell ref="H375:H375"/>
    <mergeCell ref="M375:M375"/>
    <mergeCell ref="N375:N375"/>
    <mergeCell ref="O375:O375"/>
    <mergeCell ref="P375:P375"/>
    <mergeCell ref="Q375:Q375"/>
    <mergeCell ref="R375:R375"/>
    <mergeCell ref="S375:S375"/>
    <mergeCell ref="X375:X375"/>
    <mergeCell ref="Y375:Y375"/>
    <mergeCell ref="Z375:Z375"/>
    <mergeCell ref="AA375:AA375"/>
    <mergeCell ref="AB375:AB375"/>
    <mergeCell ref="AC375:AC375"/>
    <mergeCell ref="AD375:AD375"/>
    <mergeCell ref="AE375:AE375"/>
    <mergeCell ref="AF375:AF375"/>
    <mergeCell ref="A376:A376"/>
    <mergeCell ref="B376:B376"/>
    <mergeCell ref="C376:C376"/>
    <mergeCell ref="F376:F376"/>
    <mergeCell ref="G376:G376"/>
    <mergeCell ref="H376:H376"/>
    <mergeCell ref="M376:M376"/>
    <mergeCell ref="N376:N376"/>
    <mergeCell ref="O376:O376"/>
    <mergeCell ref="P376:P376"/>
    <mergeCell ref="Q376:Q376"/>
    <mergeCell ref="R376:R376"/>
    <mergeCell ref="S376:S376"/>
    <mergeCell ref="X376:X376"/>
    <mergeCell ref="Y376:Y376"/>
    <mergeCell ref="Z376:Z376"/>
    <mergeCell ref="AA376:AA376"/>
    <mergeCell ref="AB376:AB376"/>
    <mergeCell ref="AC376:AC376"/>
    <mergeCell ref="AD376:AD376"/>
    <mergeCell ref="AE376:AE376"/>
    <mergeCell ref="AF376:AF376"/>
    <mergeCell ref="A377:A377"/>
    <mergeCell ref="B377:B377"/>
    <mergeCell ref="C377:C377"/>
    <mergeCell ref="F377:F377"/>
    <mergeCell ref="G377:G377"/>
    <mergeCell ref="H377:H377"/>
    <mergeCell ref="M377:M377"/>
    <mergeCell ref="N377:N377"/>
    <mergeCell ref="O377:O377"/>
    <mergeCell ref="P377:P377"/>
    <mergeCell ref="Q377:Q377"/>
    <mergeCell ref="R377:R377"/>
    <mergeCell ref="S377:S377"/>
    <mergeCell ref="X377:X377"/>
    <mergeCell ref="Y377:Y377"/>
    <mergeCell ref="Z377:Z377"/>
    <mergeCell ref="AA377:AA377"/>
    <mergeCell ref="AB377:AB377"/>
    <mergeCell ref="AC377:AC377"/>
    <mergeCell ref="AD377:AD377"/>
    <mergeCell ref="AE377:AE377"/>
    <mergeCell ref="AF377:AF377"/>
    <mergeCell ref="A378:A378"/>
    <mergeCell ref="B378:B378"/>
    <mergeCell ref="C378:C378"/>
    <mergeCell ref="F378:F378"/>
    <mergeCell ref="G378:G378"/>
    <mergeCell ref="H378:H378"/>
    <mergeCell ref="M378:M378"/>
    <mergeCell ref="N378:N378"/>
    <mergeCell ref="O378:O378"/>
    <mergeCell ref="P378:P378"/>
    <mergeCell ref="Q378:Q378"/>
    <mergeCell ref="R378:R378"/>
    <mergeCell ref="S378:S378"/>
    <mergeCell ref="X378:X378"/>
    <mergeCell ref="Y378:Y378"/>
    <mergeCell ref="Z378:Z378"/>
    <mergeCell ref="AA378:AA378"/>
    <mergeCell ref="AB378:AB378"/>
    <mergeCell ref="AC378:AC378"/>
    <mergeCell ref="AD378:AD378"/>
    <mergeCell ref="AE378:AE378"/>
    <mergeCell ref="AF378:AF378"/>
    <mergeCell ref="A379:A379"/>
    <mergeCell ref="B379:B379"/>
    <mergeCell ref="C379:C379"/>
    <mergeCell ref="F379:F379"/>
    <mergeCell ref="G379:G379"/>
    <mergeCell ref="H379:H379"/>
    <mergeCell ref="M379:M379"/>
    <mergeCell ref="N379:N379"/>
    <mergeCell ref="O379:O379"/>
    <mergeCell ref="P379:P379"/>
    <mergeCell ref="Q379:Q379"/>
    <mergeCell ref="R379:R379"/>
    <mergeCell ref="S379:S379"/>
    <mergeCell ref="X379:X379"/>
    <mergeCell ref="Y379:Y379"/>
    <mergeCell ref="Z379:Z379"/>
    <mergeCell ref="AA379:AA379"/>
    <mergeCell ref="AB379:AB379"/>
    <mergeCell ref="AC379:AC379"/>
    <mergeCell ref="AD379:AD379"/>
    <mergeCell ref="AE379:AE379"/>
    <mergeCell ref="AF379:AF379"/>
    <mergeCell ref="A380:A380"/>
    <mergeCell ref="B380:B380"/>
    <mergeCell ref="C380:C380"/>
    <mergeCell ref="F380:F380"/>
    <mergeCell ref="G380:G380"/>
    <mergeCell ref="H380:H380"/>
    <mergeCell ref="M380:M380"/>
    <mergeCell ref="N380:N380"/>
    <mergeCell ref="O380:O380"/>
    <mergeCell ref="P380:P380"/>
    <mergeCell ref="Q380:Q380"/>
    <mergeCell ref="R380:R380"/>
    <mergeCell ref="S380:S380"/>
    <mergeCell ref="X380:X380"/>
    <mergeCell ref="Y380:Y380"/>
    <mergeCell ref="Z380:Z380"/>
    <mergeCell ref="AA380:AA380"/>
    <mergeCell ref="AB380:AB380"/>
    <mergeCell ref="AC380:AC380"/>
    <mergeCell ref="AD380:AD380"/>
    <mergeCell ref="AE380:AE380"/>
    <mergeCell ref="AF380:AF380"/>
    <mergeCell ref="A381:A381"/>
    <mergeCell ref="B381:B381"/>
    <mergeCell ref="C381:C381"/>
    <mergeCell ref="F381:F381"/>
    <mergeCell ref="G381:G381"/>
    <mergeCell ref="H381:H381"/>
    <mergeCell ref="M381:M381"/>
    <mergeCell ref="N381:N381"/>
    <mergeCell ref="O381:O381"/>
    <mergeCell ref="P381:P381"/>
    <mergeCell ref="Q381:Q381"/>
    <mergeCell ref="R381:R381"/>
    <mergeCell ref="S381:S381"/>
    <mergeCell ref="X381:X381"/>
    <mergeCell ref="Y381:Y381"/>
    <mergeCell ref="Z381:Z381"/>
    <mergeCell ref="AA381:AA381"/>
    <mergeCell ref="AB381:AB381"/>
    <mergeCell ref="AC381:AC381"/>
    <mergeCell ref="AD381:AD381"/>
    <mergeCell ref="AE381:AE381"/>
    <mergeCell ref="AF381:AF381"/>
    <mergeCell ref="A382:A382"/>
    <mergeCell ref="B382:B382"/>
    <mergeCell ref="C382:C382"/>
    <mergeCell ref="F382:F382"/>
    <mergeCell ref="G382:G382"/>
    <mergeCell ref="H382:H382"/>
    <mergeCell ref="M382:M382"/>
    <mergeCell ref="N382:N382"/>
    <mergeCell ref="O382:O382"/>
    <mergeCell ref="P382:P382"/>
    <mergeCell ref="Q382:Q382"/>
    <mergeCell ref="R382:R382"/>
    <mergeCell ref="S382:S382"/>
    <mergeCell ref="X382:X382"/>
    <mergeCell ref="Y382:Y382"/>
    <mergeCell ref="Z382:Z382"/>
    <mergeCell ref="AA382:AA382"/>
    <mergeCell ref="AB382:AB382"/>
    <mergeCell ref="AC382:AC382"/>
    <mergeCell ref="AD382:AD382"/>
    <mergeCell ref="AE382:AE382"/>
    <mergeCell ref="AF382:AF382"/>
    <mergeCell ref="A383:A383"/>
    <mergeCell ref="B383:B383"/>
    <mergeCell ref="C383:C383"/>
    <mergeCell ref="F383:F383"/>
    <mergeCell ref="G383:G383"/>
    <mergeCell ref="H383:H383"/>
    <mergeCell ref="M383:M383"/>
    <mergeCell ref="N383:N383"/>
    <mergeCell ref="O383:O383"/>
    <mergeCell ref="P383:P383"/>
    <mergeCell ref="Q383:Q383"/>
    <mergeCell ref="R383:R383"/>
    <mergeCell ref="S383:S383"/>
    <mergeCell ref="X383:X383"/>
    <mergeCell ref="Y383:Y383"/>
    <mergeCell ref="Z383:Z383"/>
    <mergeCell ref="AA383:AA383"/>
    <mergeCell ref="AB383:AB383"/>
    <mergeCell ref="AC383:AC383"/>
    <mergeCell ref="AD383:AD383"/>
    <mergeCell ref="AE383:AE383"/>
    <mergeCell ref="AF383:AF383"/>
    <mergeCell ref="A384:A384"/>
    <mergeCell ref="B384:B384"/>
    <mergeCell ref="C384:C384"/>
    <mergeCell ref="F384:F384"/>
    <mergeCell ref="G384:G384"/>
    <mergeCell ref="H384:H384"/>
    <mergeCell ref="M384:M384"/>
    <mergeCell ref="N384:N384"/>
    <mergeCell ref="O384:O384"/>
    <mergeCell ref="P384:P384"/>
    <mergeCell ref="Q384:Q384"/>
    <mergeCell ref="R384:R384"/>
    <mergeCell ref="S384:S384"/>
    <mergeCell ref="X384:X384"/>
    <mergeCell ref="Y384:Y384"/>
    <mergeCell ref="Z384:Z384"/>
    <mergeCell ref="AA384:AA384"/>
    <mergeCell ref="AB384:AB384"/>
    <mergeCell ref="AC384:AC384"/>
    <mergeCell ref="AD384:AD384"/>
    <mergeCell ref="AE384:AE384"/>
    <mergeCell ref="AF384:AF384"/>
    <mergeCell ref="A385:A385"/>
    <mergeCell ref="B385:B385"/>
    <mergeCell ref="C385:C385"/>
    <mergeCell ref="F385:F385"/>
    <mergeCell ref="G385:G385"/>
    <mergeCell ref="H385:H385"/>
    <mergeCell ref="M385:M385"/>
    <mergeCell ref="N385:N385"/>
    <mergeCell ref="O385:O385"/>
    <mergeCell ref="P385:P385"/>
    <mergeCell ref="Q385:Q385"/>
    <mergeCell ref="R385:R385"/>
    <mergeCell ref="S385:S385"/>
    <mergeCell ref="X385:X385"/>
    <mergeCell ref="Y385:Y385"/>
    <mergeCell ref="Z385:Z385"/>
    <mergeCell ref="AA385:AA385"/>
    <mergeCell ref="AB385:AB385"/>
    <mergeCell ref="AC385:AC385"/>
    <mergeCell ref="AD385:AD385"/>
    <mergeCell ref="AE385:AE385"/>
    <mergeCell ref="AF385:AF385"/>
    <mergeCell ref="A386:A386"/>
    <mergeCell ref="B386:B386"/>
    <mergeCell ref="C386:C386"/>
    <mergeCell ref="F386:F386"/>
    <mergeCell ref="G386:G386"/>
    <mergeCell ref="H386:H386"/>
    <mergeCell ref="M386:M386"/>
    <mergeCell ref="N386:N386"/>
    <mergeCell ref="O386:O386"/>
    <mergeCell ref="P386:P386"/>
    <mergeCell ref="Q386:Q386"/>
    <mergeCell ref="R386:R386"/>
    <mergeCell ref="S386:S386"/>
    <mergeCell ref="X386:X386"/>
    <mergeCell ref="Y386:Y386"/>
    <mergeCell ref="Z386:Z386"/>
    <mergeCell ref="AA386:AA386"/>
    <mergeCell ref="AB386:AB386"/>
    <mergeCell ref="AC386:AC386"/>
    <mergeCell ref="AD386:AD386"/>
    <mergeCell ref="AE386:AE386"/>
    <mergeCell ref="AF386:AF386"/>
    <mergeCell ref="A387:A387"/>
    <mergeCell ref="B387:B387"/>
    <mergeCell ref="C387:C387"/>
    <mergeCell ref="F387:F387"/>
    <mergeCell ref="G387:G387"/>
    <mergeCell ref="H387:H387"/>
    <mergeCell ref="M387:M387"/>
    <mergeCell ref="N387:N387"/>
    <mergeCell ref="O387:O387"/>
    <mergeCell ref="P387:P387"/>
    <mergeCell ref="Q387:Q387"/>
    <mergeCell ref="R387:R387"/>
    <mergeCell ref="S387:S387"/>
    <mergeCell ref="X387:X387"/>
    <mergeCell ref="Y387:Y387"/>
    <mergeCell ref="Z387:Z387"/>
    <mergeCell ref="AA387:AA387"/>
    <mergeCell ref="AB387:AB387"/>
    <mergeCell ref="AC387:AC387"/>
    <mergeCell ref="AD387:AD387"/>
    <mergeCell ref="AE387:AE387"/>
    <mergeCell ref="AF387:AF387"/>
    <mergeCell ref="A388:A388"/>
    <mergeCell ref="B388:B388"/>
    <mergeCell ref="C388:C388"/>
    <mergeCell ref="F388:F388"/>
    <mergeCell ref="G388:G388"/>
    <mergeCell ref="H388:H388"/>
    <mergeCell ref="M388:M388"/>
    <mergeCell ref="N388:N388"/>
    <mergeCell ref="O388:O388"/>
    <mergeCell ref="P388:P388"/>
    <mergeCell ref="Q388:Q388"/>
    <mergeCell ref="R388:R388"/>
    <mergeCell ref="S388:S388"/>
    <mergeCell ref="X388:X388"/>
    <mergeCell ref="Y388:Y388"/>
    <mergeCell ref="Z388:Z388"/>
    <mergeCell ref="AA388:AA388"/>
    <mergeCell ref="AB388:AB388"/>
    <mergeCell ref="AC388:AC388"/>
    <mergeCell ref="AD388:AD388"/>
    <mergeCell ref="AE388:AE388"/>
    <mergeCell ref="AF388:AF388"/>
    <mergeCell ref="A389:A389"/>
    <mergeCell ref="B389:B389"/>
    <mergeCell ref="C389:C389"/>
    <mergeCell ref="F389:F389"/>
    <mergeCell ref="G389:G389"/>
    <mergeCell ref="H389:H389"/>
    <mergeCell ref="M389:M389"/>
    <mergeCell ref="N389:N389"/>
    <mergeCell ref="O389:O389"/>
    <mergeCell ref="P389:P389"/>
    <mergeCell ref="Q389:Q389"/>
    <mergeCell ref="R389:R389"/>
    <mergeCell ref="S389:S389"/>
    <mergeCell ref="X389:X389"/>
    <mergeCell ref="Y389:Y389"/>
    <mergeCell ref="Z389:Z389"/>
    <mergeCell ref="AA389:AA389"/>
    <mergeCell ref="AB389:AB389"/>
    <mergeCell ref="AC389:AC389"/>
    <mergeCell ref="AD389:AD389"/>
    <mergeCell ref="AE389:AE389"/>
    <mergeCell ref="AF389:AF389"/>
    <mergeCell ref="A390:A390"/>
    <mergeCell ref="B390:B390"/>
    <mergeCell ref="C390:C390"/>
    <mergeCell ref="F390:F390"/>
    <mergeCell ref="G390:G390"/>
    <mergeCell ref="H390:H390"/>
    <mergeCell ref="M390:M390"/>
    <mergeCell ref="N390:N390"/>
    <mergeCell ref="O390:O390"/>
    <mergeCell ref="P390:P390"/>
    <mergeCell ref="Q390:Q390"/>
    <mergeCell ref="R390:R390"/>
    <mergeCell ref="S390:S390"/>
    <mergeCell ref="X390:X390"/>
    <mergeCell ref="Y390:Y390"/>
    <mergeCell ref="Z390:Z390"/>
    <mergeCell ref="AA390:AA390"/>
    <mergeCell ref="AB390:AB390"/>
    <mergeCell ref="AC390:AC390"/>
    <mergeCell ref="AD390:AD390"/>
    <mergeCell ref="AE390:AE390"/>
    <mergeCell ref="AF390:AF390"/>
    <mergeCell ref="A391:A391"/>
    <mergeCell ref="B391:B391"/>
    <mergeCell ref="C391:C391"/>
    <mergeCell ref="F391:F391"/>
    <mergeCell ref="G391:G391"/>
    <mergeCell ref="H391:H391"/>
    <mergeCell ref="M391:M391"/>
    <mergeCell ref="N391:N391"/>
    <mergeCell ref="O391:O391"/>
    <mergeCell ref="P391:P391"/>
    <mergeCell ref="Q391:Q391"/>
    <mergeCell ref="R391:R391"/>
    <mergeCell ref="S391:S391"/>
    <mergeCell ref="X391:X391"/>
    <mergeCell ref="Y391:Y391"/>
    <mergeCell ref="Z391:Z391"/>
    <mergeCell ref="AA391:AA391"/>
    <mergeCell ref="AB391:AB391"/>
    <mergeCell ref="AC391:AC391"/>
    <mergeCell ref="AD391:AD391"/>
    <mergeCell ref="AE391:AE391"/>
    <mergeCell ref="AF391:AF391"/>
    <mergeCell ref="A392:A392"/>
    <mergeCell ref="B392:B392"/>
    <mergeCell ref="C392:C392"/>
    <mergeCell ref="F392:F392"/>
    <mergeCell ref="G392:G392"/>
    <mergeCell ref="H392:H392"/>
    <mergeCell ref="M392:M392"/>
    <mergeCell ref="N392:N392"/>
    <mergeCell ref="O392:O392"/>
    <mergeCell ref="P392:P392"/>
    <mergeCell ref="Q392:Q392"/>
    <mergeCell ref="R392:R392"/>
    <mergeCell ref="S392:S392"/>
    <mergeCell ref="X392:X392"/>
    <mergeCell ref="Y392:Y392"/>
    <mergeCell ref="Z392:Z392"/>
    <mergeCell ref="AA392:AA392"/>
    <mergeCell ref="AB392:AB392"/>
    <mergeCell ref="AC392:AC392"/>
    <mergeCell ref="AD392:AD392"/>
    <mergeCell ref="AE392:AE392"/>
    <mergeCell ref="AF392:AF392"/>
    <mergeCell ref="A393:A393"/>
    <mergeCell ref="B393:B393"/>
    <mergeCell ref="C393:C393"/>
    <mergeCell ref="F393:F393"/>
    <mergeCell ref="G393:G393"/>
    <mergeCell ref="H393:H393"/>
    <mergeCell ref="M393:M393"/>
    <mergeCell ref="N393:N393"/>
    <mergeCell ref="O393:O393"/>
    <mergeCell ref="P393:P393"/>
    <mergeCell ref="Q393:Q393"/>
    <mergeCell ref="R393:R393"/>
    <mergeCell ref="S393:S393"/>
    <mergeCell ref="X393:X393"/>
    <mergeCell ref="Y393:Y393"/>
    <mergeCell ref="Z393:Z393"/>
    <mergeCell ref="AA393:AA393"/>
    <mergeCell ref="AB393:AB393"/>
    <mergeCell ref="AC393:AC393"/>
    <mergeCell ref="AD393:AD393"/>
    <mergeCell ref="AE393:AE393"/>
    <mergeCell ref="AF393:AF393"/>
    <mergeCell ref="A394:A394"/>
    <mergeCell ref="B394:B394"/>
    <mergeCell ref="C394:C394"/>
    <mergeCell ref="F394:F394"/>
    <mergeCell ref="G394:G394"/>
    <mergeCell ref="H394:H394"/>
    <mergeCell ref="M394:M394"/>
    <mergeCell ref="N394:N394"/>
    <mergeCell ref="O394:O394"/>
    <mergeCell ref="P394:P394"/>
    <mergeCell ref="Q394:Q394"/>
    <mergeCell ref="R394:R394"/>
    <mergeCell ref="S394:S394"/>
    <mergeCell ref="X394:X394"/>
    <mergeCell ref="Y394:Y394"/>
    <mergeCell ref="Z394:Z394"/>
    <mergeCell ref="AA394:AA394"/>
    <mergeCell ref="AB394:AB394"/>
    <mergeCell ref="AC394:AC394"/>
    <mergeCell ref="AD394:AD394"/>
    <mergeCell ref="AE394:AE394"/>
    <mergeCell ref="AF394:AF394"/>
    <mergeCell ref="A395:A395"/>
    <mergeCell ref="B395:B395"/>
    <mergeCell ref="C395:C395"/>
    <mergeCell ref="F395:F395"/>
    <mergeCell ref="G395:G395"/>
    <mergeCell ref="H395:H395"/>
    <mergeCell ref="M395:M395"/>
    <mergeCell ref="N395:N395"/>
    <mergeCell ref="O395:O395"/>
    <mergeCell ref="P395:P395"/>
    <mergeCell ref="Q395:Q395"/>
    <mergeCell ref="R395:R395"/>
    <mergeCell ref="S395:S395"/>
    <mergeCell ref="X395:X395"/>
    <mergeCell ref="Y395:Y395"/>
    <mergeCell ref="Z395:Z395"/>
    <mergeCell ref="AA395:AA395"/>
    <mergeCell ref="AB395:AB395"/>
    <mergeCell ref="AC395:AC395"/>
    <mergeCell ref="AD395:AD395"/>
    <mergeCell ref="AE395:AE395"/>
    <mergeCell ref="AF395:AF395"/>
    <mergeCell ref="A396:A396"/>
    <mergeCell ref="B396:B396"/>
    <mergeCell ref="C396:C396"/>
    <mergeCell ref="F396:F396"/>
    <mergeCell ref="G396:G396"/>
    <mergeCell ref="H396:H396"/>
    <mergeCell ref="M396:M396"/>
    <mergeCell ref="N396:N396"/>
    <mergeCell ref="O396:O396"/>
    <mergeCell ref="P396:P396"/>
    <mergeCell ref="Q396:Q396"/>
    <mergeCell ref="R396:R396"/>
    <mergeCell ref="S396:S396"/>
    <mergeCell ref="X396:X396"/>
    <mergeCell ref="Y396:Y396"/>
    <mergeCell ref="Z396:Z396"/>
    <mergeCell ref="AA396:AA396"/>
    <mergeCell ref="AB396:AB396"/>
    <mergeCell ref="AC396:AC396"/>
    <mergeCell ref="AD396:AD396"/>
    <mergeCell ref="AE396:AE396"/>
    <mergeCell ref="AF396:AF396"/>
    <mergeCell ref="A397:A397"/>
    <mergeCell ref="B397:B397"/>
    <mergeCell ref="C397:C397"/>
    <mergeCell ref="F397:F397"/>
    <mergeCell ref="G397:G397"/>
    <mergeCell ref="H397:H397"/>
    <mergeCell ref="M397:M397"/>
    <mergeCell ref="N397:N397"/>
    <mergeCell ref="O397:O397"/>
    <mergeCell ref="P397:P397"/>
    <mergeCell ref="Q397:Q397"/>
    <mergeCell ref="R397:R397"/>
    <mergeCell ref="S397:S397"/>
    <mergeCell ref="X397:X397"/>
    <mergeCell ref="Y397:Y397"/>
    <mergeCell ref="Z397:Z397"/>
    <mergeCell ref="AA397:AA397"/>
    <mergeCell ref="AB397:AB397"/>
    <mergeCell ref="AC397:AC397"/>
    <mergeCell ref="AD397:AD397"/>
    <mergeCell ref="AE397:AE397"/>
    <mergeCell ref="AF397:AF397"/>
    <mergeCell ref="A398:A398"/>
    <mergeCell ref="B398:B398"/>
    <mergeCell ref="C398:C398"/>
    <mergeCell ref="F398:F398"/>
    <mergeCell ref="G398:G398"/>
    <mergeCell ref="H398:H398"/>
    <mergeCell ref="M398:M398"/>
    <mergeCell ref="N398:N398"/>
    <mergeCell ref="O398:O398"/>
    <mergeCell ref="P398:P398"/>
    <mergeCell ref="Q398:Q398"/>
    <mergeCell ref="R398:R398"/>
    <mergeCell ref="S398:S398"/>
    <mergeCell ref="X398:X398"/>
    <mergeCell ref="Y398:Y398"/>
    <mergeCell ref="Z398:Z398"/>
    <mergeCell ref="AA398:AA398"/>
    <mergeCell ref="AB398:AB398"/>
    <mergeCell ref="AC398:AC398"/>
    <mergeCell ref="AD398:AD398"/>
    <mergeCell ref="AE398:AE398"/>
    <mergeCell ref="AF398:AF398"/>
    <mergeCell ref="A399:A399"/>
    <mergeCell ref="B399:B399"/>
    <mergeCell ref="C399:C399"/>
    <mergeCell ref="F399:F399"/>
    <mergeCell ref="G399:G399"/>
    <mergeCell ref="H399:H399"/>
    <mergeCell ref="M399:M399"/>
    <mergeCell ref="N399:N399"/>
    <mergeCell ref="O399:O399"/>
    <mergeCell ref="P399:P399"/>
    <mergeCell ref="Q399:Q399"/>
    <mergeCell ref="R399:R399"/>
    <mergeCell ref="S399:S399"/>
    <mergeCell ref="X399:X399"/>
    <mergeCell ref="Y399:Y399"/>
    <mergeCell ref="Z399:Z399"/>
    <mergeCell ref="AA399:AA399"/>
    <mergeCell ref="AB399:AB399"/>
    <mergeCell ref="AC399:AC399"/>
    <mergeCell ref="AD399:AD399"/>
    <mergeCell ref="AE399:AE399"/>
    <mergeCell ref="AF399:AF399"/>
    <mergeCell ref="A400:A400"/>
    <mergeCell ref="B400:B400"/>
    <mergeCell ref="C400:C400"/>
    <mergeCell ref="F400:F400"/>
    <mergeCell ref="G400:G400"/>
    <mergeCell ref="H400:H400"/>
    <mergeCell ref="M400:M400"/>
    <mergeCell ref="N400:N400"/>
    <mergeCell ref="O400:O400"/>
    <mergeCell ref="P400:P400"/>
    <mergeCell ref="Q400:Q400"/>
    <mergeCell ref="R400:R400"/>
    <mergeCell ref="S400:S400"/>
    <mergeCell ref="X400:X400"/>
    <mergeCell ref="Y400:Y400"/>
    <mergeCell ref="Z400:Z400"/>
    <mergeCell ref="AA400:AA400"/>
    <mergeCell ref="AB400:AB400"/>
    <mergeCell ref="AC400:AC400"/>
    <mergeCell ref="AD400:AD400"/>
    <mergeCell ref="AE400:AE400"/>
    <mergeCell ref="AF400:AF400"/>
    <mergeCell ref="A401:A401"/>
    <mergeCell ref="B401:B401"/>
    <mergeCell ref="C401:C401"/>
    <mergeCell ref="F401:F401"/>
    <mergeCell ref="G401:G401"/>
    <mergeCell ref="H401:H401"/>
    <mergeCell ref="M401:M401"/>
    <mergeCell ref="N401:N401"/>
    <mergeCell ref="O401:O401"/>
    <mergeCell ref="P401:P401"/>
    <mergeCell ref="Q401:Q401"/>
    <mergeCell ref="R401:R401"/>
    <mergeCell ref="S401:S401"/>
    <mergeCell ref="X401:X401"/>
    <mergeCell ref="Y401:Y401"/>
    <mergeCell ref="Z401:Z401"/>
    <mergeCell ref="AA401:AA401"/>
    <mergeCell ref="AB401:AB401"/>
    <mergeCell ref="AC401:AC401"/>
    <mergeCell ref="AD401:AD401"/>
    <mergeCell ref="AE401:AE401"/>
    <mergeCell ref="AF401:AF401"/>
    <mergeCell ref="A402:A402"/>
    <mergeCell ref="B402:B402"/>
    <mergeCell ref="C402:C402"/>
    <mergeCell ref="F402:F402"/>
    <mergeCell ref="G402:G402"/>
    <mergeCell ref="H402:H402"/>
    <mergeCell ref="M402:M402"/>
    <mergeCell ref="N402:N402"/>
    <mergeCell ref="O402:O402"/>
    <mergeCell ref="P402:P402"/>
    <mergeCell ref="Q402:Q402"/>
    <mergeCell ref="R402:R402"/>
    <mergeCell ref="S402:S402"/>
    <mergeCell ref="X402:X402"/>
    <mergeCell ref="Y402:Y402"/>
    <mergeCell ref="Z402:Z402"/>
    <mergeCell ref="AA402:AA402"/>
    <mergeCell ref="AB402:AB402"/>
    <mergeCell ref="AC402:AC402"/>
    <mergeCell ref="AD402:AD402"/>
    <mergeCell ref="AE402:AE402"/>
    <mergeCell ref="AF402:AF402"/>
    <mergeCell ref="A403:A403"/>
    <mergeCell ref="B403:B403"/>
    <mergeCell ref="C403:C403"/>
    <mergeCell ref="F403:F403"/>
    <mergeCell ref="G403:G403"/>
    <mergeCell ref="H403:H403"/>
    <mergeCell ref="M403:M403"/>
    <mergeCell ref="N403:N403"/>
    <mergeCell ref="O403:O403"/>
    <mergeCell ref="P403:P403"/>
    <mergeCell ref="Q403:Q403"/>
    <mergeCell ref="R403:R403"/>
    <mergeCell ref="S403:S403"/>
    <mergeCell ref="X403:X403"/>
    <mergeCell ref="Y403:Y403"/>
    <mergeCell ref="Z403:Z403"/>
    <mergeCell ref="AA403:AA403"/>
    <mergeCell ref="AB403:AB403"/>
    <mergeCell ref="AC403:AC403"/>
    <mergeCell ref="AD403:AD403"/>
    <mergeCell ref="AE403:AE403"/>
    <mergeCell ref="AF403:AF403"/>
    <mergeCell ref="A404:A404"/>
    <mergeCell ref="B404:B404"/>
    <mergeCell ref="C404:C404"/>
    <mergeCell ref="F404:F404"/>
    <mergeCell ref="G404:G404"/>
    <mergeCell ref="H404:H404"/>
    <mergeCell ref="M404:M404"/>
    <mergeCell ref="N404:N404"/>
    <mergeCell ref="O404:O404"/>
    <mergeCell ref="P404:P404"/>
    <mergeCell ref="Q404:Q404"/>
    <mergeCell ref="R404:R404"/>
    <mergeCell ref="S404:S404"/>
    <mergeCell ref="X404:X404"/>
    <mergeCell ref="Y404:Y404"/>
    <mergeCell ref="Z404:Z404"/>
    <mergeCell ref="AA404:AA404"/>
    <mergeCell ref="AB404:AB404"/>
    <mergeCell ref="AC404:AC404"/>
    <mergeCell ref="AD404:AD404"/>
    <mergeCell ref="AE404:AE404"/>
    <mergeCell ref="AF404:AF404"/>
    <mergeCell ref="A405:A405"/>
    <mergeCell ref="B405:B405"/>
    <mergeCell ref="C405:C405"/>
    <mergeCell ref="F405:F405"/>
    <mergeCell ref="G405:G405"/>
    <mergeCell ref="H405:H405"/>
    <mergeCell ref="M405:M405"/>
    <mergeCell ref="N405:N405"/>
    <mergeCell ref="O405:O405"/>
    <mergeCell ref="P405:P405"/>
    <mergeCell ref="Q405:Q405"/>
    <mergeCell ref="R405:R405"/>
    <mergeCell ref="S405:S405"/>
    <mergeCell ref="X405:X405"/>
    <mergeCell ref="Y405:Y405"/>
    <mergeCell ref="Z405:Z405"/>
    <mergeCell ref="AA405:AA405"/>
    <mergeCell ref="AB405:AB405"/>
    <mergeCell ref="AC405:AC405"/>
    <mergeCell ref="AD405:AD405"/>
    <mergeCell ref="AE405:AE405"/>
    <mergeCell ref="AF405:AF405"/>
    <mergeCell ref="A406:A406"/>
    <mergeCell ref="B406:B406"/>
    <mergeCell ref="C406:C406"/>
    <mergeCell ref="F406:F406"/>
    <mergeCell ref="G406:G406"/>
    <mergeCell ref="H406:H406"/>
    <mergeCell ref="M406:M406"/>
    <mergeCell ref="N406:N406"/>
    <mergeCell ref="O406:O406"/>
    <mergeCell ref="P406:P406"/>
    <mergeCell ref="Q406:Q406"/>
    <mergeCell ref="R406:R406"/>
    <mergeCell ref="S406:S406"/>
    <mergeCell ref="X406:X406"/>
    <mergeCell ref="Y406:Y406"/>
    <mergeCell ref="Z406:Z406"/>
    <mergeCell ref="AA406:AA406"/>
    <mergeCell ref="AB406:AB406"/>
    <mergeCell ref="AC406:AC406"/>
    <mergeCell ref="AD406:AD406"/>
    <mergeCell ref="AE406:AE406"/>
    <mergeCell ref="AF406:AF406"/>
    <mergeCell ref="A407:A407"/>
    <mergeCell ref="B407:B407"/>
    <mergeCell ref="C407:C407"/>
    <mergeCell ref="F407:F407"/>
    <mergeCell ref="G407:G407"/>
    <mergeCell ref="H407:H407"/>
    <mergeCell ref="M407:M407"/>
    <mergeCell ref="N407:N407"/>
    <mergeCell ref="O407:O407"/>
    <mergeCell ref="P407:P407"/>
    <mergeCell ref="Q407:Q407"/>
    <mergeCell ref="R407:R407"/>
    <mergeCell ref="S407:S407"/>
    <mergeCell ref="X407:X407"/>
    <mergeCell ref="Y407:Y407"/>
    <mergeCell ref="Z407:Z407"/>
    <mergeCell ref="AA407:AA407"/>
    <mergeCell ref="AB407:AB407"/>
    <mergeCell ref="AC407:AC407"/>
    <mergeCell ref="AD407:AD407"/>
    <mergeCell ref="AE407:AE407"/>
    <mergeCell ref="AF407:AF407"/>
    <mergeCell ref="A408:A408"/>
    <mergeCell ref="B408:B408"/>
    <mergeCell ref="C408:C408"/>
    <mergeCell ref="F408:F408"/>
    <mergeCell ref="G408:G408"/>
    <mergeCell ref="H408:H408"/>
    <mergeCell ref="M408:M408"/>
    <mergeCell ref="N408:N408"/>
    <mergeCell ref="O408:O408"/>
    <mergeCell ref="P408:P408"/>
    <mergeCell ref="Q408:Q408"/>
    <mergeCell ref="R408:R408"/>
    <mergeCell ref="S408:S408"/>
    <mergeCell ref="X408:X408"/>
    <mergeCell ref="Y408:Y408"/>
    <mergeCell ref="Z408:Z408"/>
    <mergeCell ref="AA408:AA408"/>
    <mergeCell ref="AB408:AB408"/>
    <mergeCell ref="AC408:AC408"/>
    <mergeCell ref="AD408:AD408"/>
    <mergeCell ref="AE408:AE408"/>
    <mergeCell ref="AF408:AF408"/>
    <mergeCell ref="A409:A409"/>
    <mergeCell ref="B409:B409"/>
    <mergeCell ref="C409:C409"/>
    <mergeCell ref="F409:F409"/>
    <mergeCell ref="G409:G409"/>
    <mergeCell ref="H409:H409"/>
    <mergeCell ref="M409:M409"/>
    <mergeCell ref="N409:N409"/>
    <mergeCell ref="O409:O409"/>
    <mergeCell ref="P409:P409"/>
    <mergeCell ref="Q409:Q409"/>
    <mergeCell ref="R409:R409"/>
    <mergeCell ref="S409:S409"/>
    <mergeCell ref="X409:X409"/>
    <mergeCell ref="Y409:Y409"/>
    <mergeCell ref="Z409:Z409"/>
    <mergeCell ref="AA409:AA409"/>
    <mergeCell ref="AB409:AB409"/>
    <mergeCell ref="AC409:AC409"/>
    <mergeCell ref="AD409:AD409"/>
    <mergeCell ref="AE409:AE409"/>
    <mergeCell ref="AF409:AF409"/>
    <mergeCell ref="A410:A410"/>
    <mergeCell ref="B410:B410"/>
    <mergeCell ref="C410:C410"/>
    <mergeCell ref="F410:F410"/>
    <mergeCell ref="G410:G410"/>
    <mergeCell ref="H410:H410"/>
    <mergeCell ref="M410:M410"/>
    <mergeCell ref="N410:N410"/>
    <mergeCell ref="O410:O410"/>
    <mergeCell ref="P410:P410"/>
    <mergeCell ref="Q410:Q410"/>
    <mergeCell ref="R410:R410"/>
    <mergeCell ref="S410:S410"/>
    <mergeCell ref="X410:X410"/>
    <mergeCell ref="Y410:Y410"/>
    <mergeCell ref="Z410:Z410"/>
    <mergeCell ref="AA410:AA410"/>
    <mergeCell ref="AB410:AB410"/>
    <mergeCell ref="AC410:AC410"/>
    <mergeCell ref="AD410:AD410"/>
    <mergeCell ref="AE410:AE410"/>
    <mergeCell ref="AF410:AF410"/>
    <mergeCell ref="A411:A411"/>
    <mergeCell ref="B411:B411"/>
    <mergeCell ref="C411:C411"/>
    <mergeCell ref="F411:F411"/>
    <mergeCell ref="G411:G411"/>
    <mergeCell ref="H411:H411"/>
    <mergeCell ref="M411:M411"/>
    <mergeCell ref="N411:N411"/>
    <mergeCell ref="O411:O411"/>
    <mergeCell ref="P411:P411"/>
    <mergeCell ref="Q411:Q411"/>
    <mergeCell ref="R411:R411"/>
    <mergeCell ref="S411:S411"/>
    <mergeCell ref="X411:X411"/>
    <mergeCell ref="Y411:Y411"/>
    <mergeCell ref="Z411:Z411"/>
    <mergeCell ref="AA411:AA411"/>
    <mergeCell ref="AB411:AB411"/>
    <mergeCell ref="AC411:AC411"/>
    <mergeCell ref="AD411:AD411"/>
    <mergeCell ref="AE411:AE411"/>
    <mergeCell ref="AF411:AF411"/>
    <mergeCell ref="A412:A412"/>
    <mergeCell ref="B412:B412"/>
    <mergeCell ref="C412:C412"/>
    <mergeCell ref="F412:F412"/>
    <mergeCell ref="G412:G412"/>
    <mergeCell ref="H412:H412"/>
    <mergeCell ref="M412:M412"/>
    <mergeCell ref="N412:N412"/>
    <mergeCell ref="O412:O412"/>
    <mergeCell ref="P412:P412"/>
    <mergeCell ref="Q412:Q412"/>
    <mergeCell ref="R412:R412"/>
    <mergeCell ref="S412:S412"/>
    <mergeCell ref="X412:X412"/>
    <mergeCell ref="Y412:Y412"/>
    <mergeCell ref="Z412:Z412"/>
    <mergeCell ref="AA412:AA412"/>
    <mergeCell ref="AB412:AB412"/>
    <mergeCell ref="AC412:AC412"/>
    <mergeCell ref="AD412:AD412"/>
    <mergeCell ref="AE412:AE412"/>
    <mergeCell ref="AF412:AF412"/>
    <mergeCell ref="A413:A413"/>
    <mergeCell ref="B413:B413"/>
    <mergeCell ref="C413:C413"/>
    <mergeCell ref="F413:F413"/>
    <mergeCell ref="G413:G413"/>
    <mergeCell ref="H413:H413"/>
    <mergeCell ref="M413:M413"/>
    <mergeCell ref="N413:N413"/>
    <mergeCell ref="O413:O413"/>
    <mergeCell ref="P413:P413"/>
    <mergeCell ref="Q413:Q413"/>
    <mergeCell ref="R413:R413"/>
    <mergeCell ref="S413:S413"/>
    <mergeCell ref="X413:X413"/>
    <mergeCell ref="Y413:Y413"/>
    <mergeCell ref="Z413:Z413"/>
    <mergeCell ref="AA413:AA413"/>
    <mergeCell ref="AB413:AB413"/>
    <mergeCell ref="AC413:AC413"/>
    <mergeCell ref="AD413:AD413"/>
    <mergeCell ref="AE413:AE413"/>
    <mergeCell ref="AF413:AF413"/>
    <mergeCell ref="A414:A414"/>
    <mergeCell ref="B414:B414"/>
    <mergeCell ref="C414:C414"/>
    <mergeCell ref="F414:F414"/>
    <mergeCell ref="G414:G414"/>
    <mergeCell ref="H414:H414"/>
    <mergeCell ref="M414:M414"/>
    <mergeCell ref="N414:N414"/>
    <mergeCell ref="O414:O414"/>
    <mergeCell ref="P414:P414"/>
    <mergeCell ref="Q414:Q414"/>
    <mergeCell ref="R414:R414"/>
    <mergeCell ref="S414:S414"/>
    <mergeCell ref="X414:X414"/>
    <mergeCell ref="Y414:Y414"/>
    <mergeCell ref="Z414:Z414"/>
    <mergeCell ref="AA414:AA414"/>
    <mergeCell ref="AB414:AB414"/>
    <mergeCell ref="AC414:AC414"/>
    <mergeCell ref="AD414:AD414"/>
    <mergeCell ref="AE414:AE414"/>
    <mergeCell ref="AF414:AF414"/>
    <mergeCell ref="A415:A415"/>
    <mergeCell ref="B415:B415"/>
    <mergeCell ref="C415:C415"/>
    <mergeCell ref="F415:F415"/>
    <mergeCell ref="G415:G415"/>
    <mergeCell ref="H415:H415"/>
    <mergeCell ref="M415:M415"/>
    <mergeCell ref="N415:N415"/>
    <mergeCell ref="O415:O415"/>
    <mergeCell ref="P415:P415"/>
    <mergeCell ref="Q415:Q415"/>
    <mergeCell ref="R415:R415"/>
    <mergeCell ref="S415:S415"/>
    <mergeCell ref="X415:X415"/>
    <mergeCell ref="Y415:Y415"/>
    <mergeCell ref="Z415:Z415"/>
    <mergeCell ref="AA415:AA415"/>
    <mergeCell ref="AB415:AB415"/>
    <mergeCell ref="AC415:AC415"/>
    <mergeCell ref="AD415:AD415"/>
    <mergeCell ref="AE415:AE415"/>
    <mergeCell ref="AF415:AF415"/>
    <mergeCell ref="A416:A416"/>
    <mergeCell ref="B416:B416"/>
    <mergeCell ref="C416:C416"/>
    <mergeCell ref="F416:F416"/>
    <mergeCell ref="G416:G416"/>
    <mergeCell ref="H416:H416"/>
    <mergeCell ref="M416:M416"/>
    <mergeCell ref="N416:N416"/>
    <mergeCell ref="O416:O416"/>
    <mergeCell ref="P416:P416"/>
    <mergeCell ref="Q416:Q416"/>
    <mergeCell ref="R416:R416"/>
    <mergeCell ref="S416:S416"/>
    <mergeCell ref="X416:X416"/>
    <mergeCell ref="Y416:Y416"/>
    <mergeCell ref="Z416:Z416"/>
    <mergeCell ref="AA416:AA416"/>
    <mergeCell ref="AB416:AB416"/>
    <mergeCell ref="AC416:AC416"/>
    <mergeCell ref="AD416:AD416"/>
    <mergeCell ref="AE416:AE416"/>
    <mergeCell ref="AF416:AF416"/>
    <mergeCell ref="A417:A417"/>
    <mergeCell ref="B417:B417"/>
    <mergeCell ref="C417:C417"/>
    <mergeCell ref="F417:F417"/>
    <mergeCell ref="G417:G417"/>
    <mergeCell ref="H417:H417"/>
    <mergeCell ref="M417:M417"/>
    <mergeCell ref="N417:N417"/>
    <mergeCell ref="O417:O417"/>
    <mergeCell ref="P417:P417"/>
    <mergeCell ref="Q417:Q417"/>
    <mergeCell ref="R417:R417"/>
    <mergeCell ref="S417:S417"/>
    <mergeCell ref="X417:X417"/>
    <mergeCell ref="Y417:Y417"/>
    <mergeCell ref="Z417:Z417"/>
    <mergeCell ref="AA417:AA417"/>
    <mergeCell ref="AB417:AB417"/>
    <mergeCell ref="AC417:AC417"/>
    <mergeCell ref="AD417:AD417"/>
    <mergeCell ref="AE417:AE417"/>
    <mergeCell ref="AF417:AF417"/>
    <mergeCell ref="A418:A418"/>
    <mergeCell ref="B418:B418"/>
    <mergeCell ref="C418:C418"/>
    <mergeCell ref="F418:F418"/>
    <mergeCell ref="G418:G418"/>
    <mergeCell ref="H418:H418"/>
    <mergeCell ref="M418:M418"/>
    <mergeCell ref="N418:N418"/>
    <mergeCell ref="O418:O418"/>
    <mergeCell ref="P418:P418"/>
    <mergeCell ref="Q418:Q418"/>
    <mergeCell ref="R418:R418"/>
    <mergeCell ref="S418:S418"/>
    <mergeCell ref="X418:X418"/>
    <mergeCell ref="Y418:Y418"/>
    <mergeCell ref="Z418:Z418"/>
    <mergeCell ref="AA418:AA418"/>
    <mergeCell ref="AB418:AB418"/>
    <mergeCell ref="AC418:AC418"/>
    <mergeCell ref="AD418:AD418"/>
    <mergeCell ref="AE418:AE418"/>
    <mergeCell ref="AF418:AF418"/>
    <mergeCell ref="A419:A419"/>
    <mergeCell ref="B419:B419"/>
    <mergeCell ref="C419:C419"/>
    <mergeCell ref="F419:F419"/>
    <mergeCell ref="G419:G419"/>
    <mergeCell ref="H419:H419"/>
    <mergeCell ref="M419:M419"/>
    <mergeCell ref="N419:N419"/>
    <mergeCell ref="O419:O419"/>
    <mergeCell ref="P419:P419"/>
    <mergeCell ref="Q419:Q419"/>
    <mergeCell ref="R419:R419"/>
    <mergeCell ref="S419:S419"/>
    <mergeCell ref="X419:X419"/>
    <mergeCell ref="Y419:Y419"/>
    <mergeCell ref="Z419:Z419"/>
    <mergeCell ref="AA419:AA419"/>
    <mergeCell ref="AB419:AB419"/>
    <mergeCell ref="AC419:AC419"/>
    <mergeCell ref="AD419:AD419"/>
    <mergeCell ref="AE419:AE419"/>
    <mergeCell ref="AF419:AF419"/>
    <mergeCell ref="A420:A420"/>
    <mergeCell ref="B420:B420"/>
    <mergeCell ref="C420:C420"/>
    <mergeCell ref="F420:F420"/>
    <mergeCell ref="G420:G420"/>
    <mergeCell ref="H420:H420"/>
    <mergeCell ref="M420:M420"/>
    <mergeCell ref="N420:N420"/>
    <mergeCell ref="O420:O420"/>
    <mergeCell ref="P420:P420"/>
    <mergeCell ref="Q420:Q420"/>
    <mergeCell ref="R420:R420"/>
    <mergeCell ref="S420:S420"/>
    <mergeCell ref="X420:X420"/>
    <mergeCell ref="Y420:Y420"/>
    <mergeCell ref="Z420:Z420"/>
    <mergeCell ref="AA420:AA420"/>
    <mergeCell ref="AB420:AB420"/>
    <mergeCell ref="AC420:AC420"/>
    <mergeCell ref="AD420:AD420"/>
    <mergeCell ref="AE420:AE420"/>
    <mergeCell ref="AF420:AF420"/>
    <mergeCell ref="A421:A421"/>
    <mergeCell ref="B421:B421"/>
    <mergeCell ref="C421:C421"/>
    <mergeCell ref="F421:F421"/>
    <mergeCell ref="G421:G421"/>
    <mergeCell ref="H421:H421"/>
    <mergeCell ref="M421:M421"/>
    <mergeCell ref="N421:N421"/>
    <mergeCell ref="O421:O421"/>
    <mergeCell ref="P421:P421"/>
    <mergeCell ref="Q421:Q421"/>
    <mergeCell ref="R421:R421"/>
    <mergeCell ref="S421:S421"/>
    <mergeCell ref="X421:X421"/>
    <mergeCell ref="Y421:Y421"/>
    <mergeCell ref="Z421:Z421"/>
    <mergeCell ref="AA421:AA421"/>
    <mergeCell ref="AB421:AB421"/>
    <mergeCell ref="AC421:AC421"/>
    <mergeCell ref="AD421:AD421"/>
    <mergeCell ref="AE421:AE421"/>
    <mergeCell ref="AF421:AF421"/>
    <mergeCell ref="A422:A422"/>
    <mergeCell ref="B422:B422"/>
    <mergeCell ref="C422:C422"/>
    <mergeCell ref="F422:F422"/>
    <mergeCell ref="G422:G422"/>
    <mergeCell ref="H422:H422"/>
    <mergeCell ref="M422:M422"/>
    <mergeCell ref="N422:N422"/>
    <mergeCell ref="O422:O422"/>
    <mergeCell ref="P422:P422"/>
    <mergeCell ref="Q422:Q422"/>
    <mergeCell ref="R422:R422"/>
    <mergeCell ref="S422:S422"/>
    <mergeCell ref="X422:X422"/>
    <mergeCell ref="Y422:Y422"/>
    <mergeCell ref="Z422:Z422"/>
    <mergeCell ref="AA422:AA422"/>
    <mergeCell ref="AB422:AB422"/>
    <mergeCell ref="AC422:AC422"/>
    <mergeCell ref="AD422:AD422"/>
    <mergeCell ref="AE422:AE422"/>
    <mergeCell ref="AF422:AF422"/>
    <mergeCell ref="A423:A423"/>
    <mergeCell ref="B423:B423"/>
    <mergeCell ref="C423:C423"/>
    <mergeCell ref="F423:F423"/>
    <mergeCell ref="G423:G423"/>
    <mergeCell ref="H423:H423"/>
    <mergeCell ref="M423:M423"/>
    <mergeCell ref="N423:N423"/>
    <mergeCell ref="O423:O423"/>
    <mergeCell ref="P423:P423"/>
    <mergeCell ref="Q423:Q423"/>
    <mergeCell ref="R423:R423"/>
    <mergeCell ref="S423:S423"/>
    <mergeCell ref="X423:X423"/>
    <mergeCell ref="Y423:Y423"/>
    <mergeCell ref="Z423:Z423"/>
    <mergeCell ref="AA423:AA423"/>
    <mergeCell ref="AB423:AB423"/>
    <mergeCell ref="AC423:AC423"/>
    <mergeCell ref="AD423:AD423"/>
    <mergeCell ref="AE423:AE423"/>
    <mergeCell ref="AF423:AF423"/>
    <mergeCell ref="A424:A424"/>
    <mergeCell ref="B424:B424"/>
    <mergeCell ref="C424:C424"/>
    <mergeCell ref="F424:F424"/>
    <mergeCell ref="G424:G424"/>
    <mergeCell ref="H424:H424"/>
    <mergeCell ref="M424:M424"/>
    <mergeCell ref="N424:N424"/>
    <mergeCell ref="O424:O424"/>
    <mergeCell ref="P424:P424"/>
    <mergeCell ref="Q424:Q424"/>
    <mergeCell ref="R424:R424"/>
    <mergeCell ref="S424:S424"/>
    <mergeCell ref="X424:X424"/>
    <mergeCell ref="Y424:Y424"/>
    <mergeCell ref="Z424:Z424"/>
    <mergeCell ref="AA424:AA424"/>
    <mergeCell ref="AB424:AB424"/>
    <mergeCell ref="AC424:AC424"/>
    <mergeCell ref="AD424:AD424"/>
    <mergeCell ref="AE424:AE424"/>
    <mergeCell ref="AF424:AF424"/>
    <mergeCell ref="A425:A425"/>
    <mergeCell ref="B425:B425"/>
    <mergeCell ref="C425:C425"/>
    <mergeCell ref="F425:F425"/>
    <mergeCell ref="G425:G425"/>
    <mergeCell ref="H425:H425"/>
    <mergeCell ref="M425:M425"/>
    <mergeCell ref="N425:N425"/>
    <mergeCell ref="O425:O425"/>
    <mergeCell ref="P425:P425"/>
    <mergeCell ref="Q425:Q425"/>
    <mergeCell ref="R425:R425"/>
    <mergeCell ref="S425:S425"/>
    <mergeCell ref="X425:X425"/>
    <mergeCell ref="Y425:Y425"/>
    <mergeCell ref="Z425:Z425"/>
    <mergeCell ref="AA425:AA425"/>
    <mergeCell ref="AB425:AB425"/>
    <mergeCell ref="AC425:AC425"/>
    <mergeCell ref="AD425:AD425"/>
    <mergeCell ref="AE425:AE425"/>
    <mergeCell ref="AF425:AF425"/>
    <mergeCell ref="A426:A426"/>
    <mergeCell ref="B426:B426"/>
    <mergeCell ref="C426:C426"/>
    <mergeCell ref="F426:F426"/>
    <mergeCell ref="G426:G426"/>
    <mergeCell ref="H426:H426"/>
    <mergeCell ref="M426:M426"/>
    <mergeCell ref="N426:N426"/>
    <mergeCell ref="O426:O426"/>
    <mergeCell ref="P426:P426"/>
    <mergeCell ref="Q426:Q426"/>
    <mergeCell ref="R426:R426"/>
    <mergeCell ref="S426:S426"/>
    <mergeCell ref="X426:X426"/>
    <mergeCell ref="Y426:Y426"/>
    <mergeCell ref="Z426:Z426"/>
    <mergeCell ref="AA426:AA426"/>
    <mergeCell ref="AB426:AB426"/>
    <mergeCell ref="AC426:AC426"/>
    <mergeCell ref="AD426:AD426"/>
    <mergeCell ref="AE426:AE426"/>
    <mergeCell ref="AF426:AF426"/>
    <mergeCell ref="A427:A427"/>
    <mergeCell ref="B427:B427"/>
    <mergeCell ref="C427:C427"/>
    <mergeCell ref="F427:F427"/>
    <mergeCell ref="G427:G427"/>
    <mergeCell ref="H427:H427"/>
    <mergeCell ref="M427:M427"/>
    <mergeCell ref="N427:N427"/>
    <mergeCell ref="O427:O427"/>
    <mergeCell ref="P427:P427"/>
    <mergeCell ref="Q427:Q427"/>
    <mergeCell ref="R427:R427"/>
    <mergeCell ref="S427:S427"/>
    <mergeCell ref="X427:X427"/>
    <mergeCell ref="Y427:Y427"/>
    <mergeCell ref="Z427:Z427"/>
    <mergeCell ref="AA427:AA427"/>
    <mergeCell ref="AB427:AB427"/>
    <mergeCell ref="AC427:AC427"/>
    <mergeCell ref="AD427:AD427"/>
    <mergeCell ref="AE427:AE427"/>
    <mergeCell ref="AF427:AF427"/>
    <mergeCell ref="A428:A428"/>
    <mergeCell ref="B428:B428"/>
    <mergeCell ref="C428:C428"/>
    <mergeCell ref="F428:F428"/>
    <mergeCell ref="G428:G428"/>
    <mergeCell ref="H428:H428"/>
    <mergeCell ref="M428:M428"/>
    <mergeCell ref="N428:N428"/>
    <mergeCell ref="O428:O428"/>
    <mergeCell ref="P428:P428"/>
    <mergeCell ref="Q428:Q428"/>
    <mergeCell ref="R428:R428"/>
    <mergeCell ref="S428:S428"/>
    <mergeCell ref="X428:X428"/>
    <mergeCell ref="Y428:Y428"/>
    <mergeCell ref="Z428:Z428"/>
    <mergeCell ref="AA428:AA428"/>
    <mergeCell ref="AB428:AB428"/>
    <mergeCell ref="AC428:AC428"/>
    <mergeCell ref="AD428:AD428"/>
    <mergeCell ref="AE428:AE428"/>
    <mergeCell ref="AF428:AF428"/>
    <mergeCell ref="A429:A429"/>
    <mergeCell ref="B429:B429"/>
    <mergeCell ref="C429:C429"/>
    <mergeCell ref="F429:F429"/>
    <mergeCell ref="G429:G429"/>
    <mergeCell ref="H429:H429"/>
    <mergeCell ref="M429:M429"/>
    <mergeCell ref="N429:N429"/>
    <mergeCell ref="O429:O429"/>
    <mergeCell ref="P429:P429"/>
    <mergeCell ref="Q429:Q429"/>
    <mergeCell ref="R429:R429"/>
    <mergeCell ref="S429:S429"/>
    <mergeCell ref="X429:X429"/>
    <mergeCell ref="Y429:Y429"/>
    <mergeCell ref="Z429:Z429"/>
    <mergeCell ref="AA429:AA429"/>
    <mergeCell ref="AB429:AB429"/>
    <mergeCell ref="AC429:AC429"/>
    <mergeCell ref="AD429:AD429"/>
    <mergeCell ref="AE429:AE429"/>
    <mergeCell ref="AF429:AF429"/>
    <mergeCell ref="A430:A430"/>
    <mergeCell ref="B430:B430"/>
    <mergeCell ref="C430:C430"/>
    <mergeCell ref="F430:F430"/>
    <mergeCell ref="G430:G430"/>
    <mergeCell ref="H430:H430"/>
    <mergeCell ref="M430:M430"/>
    <mergeCell ref="N430:N430"/>
    <mergeCell ref="O430:O430"/>
    <mergeCell ref="P430:P430"/>
    <mergeCell ref="Q430:Q430"/>
    <mergeCell ref="R430:R430"/>
    <mergeCell ref="S430:S430"/>
    <mergeCell ref="X430:X430"/>
    <mergeCell ref="Y430:Y430"/>
    <mergeCell ref="Z430:Z430"/>
    <mergeCell ref="AA430:AA430"/>
    <mergeCell ref="AB430:AB430"/>
    <mergeCell ref="AC430:AC430"/>
    <mergeCell ref="AD430:AD430"/>
    <mergeCell ref="AE430:AE430"/>
    <mergeCell ref="AF430:AF430"/>
    <mergeCell ref="A431:A431"/>
    <mergeCell ref="B431:B431"/>
    <mergeCell ref="C431:C431"/>
    <mergeCell ref="F431:F431"/>
    <mergeCell ref="G431:G431"/>
    <mergeCell ref="H431:H431"/>
    <mergeCell ref="M431:M431"/>
    <mergeCell ref="N431:N431"/>
    <mergeCell ref="O431:O431"/>
    <mergeCell ref="P431:P431"/>
    <mergeCell ref="Q431:Q431"/>
    <mergeCell ref="R431:R431"/>
    <mergeCell ref="S431:S431"/>
    <mergeCell ref="X431:X431"/>
    <mergeCell ref="Y431:Y431"/>
    <mergeCell ref="Z431:Z431"/>
    <mergeCell ref="AA431:AA431"/>
    <mergeCell ref="AB431:AB431"/>
    <mergeCell ref="AC431:AC431"/>
    <mergeCell ref="AD431:AD431"/>
    <mergeCell ref="AE431:AE431"/>
    <mergeCell ref="AF431:AF431"/>
    <mergeCell ref="A432:A432"/>
    <mergeCell ref="B432:B432"/>
    <mergeCell ref="C432:C432"/>
    <mergeCell ref="F432:F432"/>
    <mergeCell ref="G432:G432"/>
    <mergeCell ref="H432:H432"/>
    <mergeCell ref="M432:M432"/>
    <mergeCell ref="N432:N432"/>
    <mergeCell ref="O432:O432"/>
    <mergeCell ref="P432:P432"/>
    <mergeCell ref="Q432:Q432"/>
    <mergeCell ref="R432:R432"/>
    <mergeCell ref="S432:S432"/>
    <mergeCell ref="X432:X432"/>
    <mergeCell ref="Y432:Y432"/>
    <mergeCell ref="Z432:Z432"/>
    <mergeCell ref="AA432:AA432"/>
    <mergeCell ref="AB432:AB432"/>
    <mergeCell ref="AC432:AC432"/>
    <mergeCell ref="AD432:AD432"/>
    <mergeCell ref="AE432:AE432"/>
    <mergeCell ref="AF432:AF432"/>
    <mergeCell ref="A433:A433"/>
    <mergeCell ref="B433:B433"/>
    <mergeCell ref="C433:C433"/>
    <mergeCell ref="F433:F433"/>
    <mergeCell ref="G433:G433"/>
    <mergeCell ref="H433:H433"/>
    <mergeCell ref="M433:M433"/>
    <mergeCell ref="N433:N433"/>
    <mergeCell ref="O433:O433"/>
    <mergeCell ref="P433:P433"/>
    <mergeCell ref="Q433:Q433"/>
    <mergeCell ref="R433:R433"/>
    <mergeCell ref="S433:S433"/>
    <mergeCell ref="X433:X433"/>
    <mergeCell ref="Y433:Y433"/>
    <mergeCell ref="Z433:Z433"/>
    <mergeCell ref="AA433:AA433"/>
    <mergeCell ref="AB433:AB433"/>
    <mergeCell ref="AC433:AC433"/>
    <mergeCell ref="AD433:AD433"/>
    <mergeCell ref="AE433:AE433"/>
    <mergeCell ref="AF433:AF433"/>
    <mergeCell ref="A434:A434"/>
    <mergeCell ref="B434:B434"/>
    <mergeCell ref="C434:C434"/>
    <mergeCell ref="F434:F434"/>
    <mergeCell ref="G434:G434"/>
    <mergeCell ref="H434:H434"/>
    <mergeCell ref="M434:M434"/>
    <mergeCell ref="N434:N434"/>
    <mergeCell ref="O434:O434"/>
    <mergeCell ref="P434:P434"/>
    <mergeCell ref="Q434:Q434"/>
    <mergeCell ref="R434:R434"/>
    <mergeCell ref="S434:S434"/>
    <mergeCell ref="X434:X434"/>
    <mergeCell ref="Y434:Y434"/>
    <mergeCell ref="Z434:Z434"/>
    <mergeCell ref="AA434:AA434"/>
    <mergeCell ref="AB434:AB434"/>
    <mergeCell ref="AC434:AC434"/>
    <mergeCell ref="AD434:AD434"/>
    <mergeCell ref="AE434:AE434"/>
    <mergeCell ref="AF434:AF434"/>
    <mergeCell ref="A435:A435"/>
    <mergeCell ref="B435:B435"/>
    <mergeCell ref="C435:C435"/>
    <mergeCell ref="F435:F435"/>
    <mergeCell ref="G435:G435"/>
    <mergeCell ref="H435:H435"/>
    <mergeCell ref="M435:M435"/>
    <mergeCell ref="N435:N435"/>
    <mergeCell ref="O435:O435"/>
    <mergeCell ref="P435:P435"/>
    <mergeCell ref="Q435:Q435"/>
    <mergeCell ref="R435:R435"/>
    <mergeCell ref="S435:S435"/>
    <mergeCell ref="X435:X435"/>
    <mergeCell ref="Y435:Y435"/>
    <mergeCell ref="Z435:Z435"/>
    <mergeCell ref="AA435:AA435"/>
    <mergeCell ref="AB435:AB435"/>
    <mergeCell ref="AC435:AC435"/>
    <mergeCell ref="AD435:AD435"/>
    <mergeCell ref="AE435:AE435"/>
    <mergeCell ref="AF435:AF435"/>
    <mergeCell ref="A436:A436"/>
    <mergeCell ref="B436:B436"/>
    <mergeCell ref="C436:C436"/>
    <mergeCell ref="F436:F436"/>
    <mergeCell ref="G436:G436"/>
    <mergeCell ref="H436:H436"/>
    <mergeCell ref="M436:M436"/>
    <mergeCell ref="N436:N436"/>
    <mergeCell ref="O436:O436"/>
    <mergeCell ref="P436:P436"/>
    <mergeCell ref="Q436:Q436"/>
    <mergeCell ref="R436:R436"/>
    <mergeCell ref="S436:S436"/>
    <mergeCell ref="X436:X436"/>
    <mergeCell ref="Y436:Y436"/>
    <mergeCell ref="Z436:Z436"/>
    <mergeCell ref="AA436:AA436"/>
    <mergeCell ref="AB436:AB436"/>
    <mergeCell ref="AC436:AC436"/>
    <mergeCell ref="AD436:AD436"/>
    <mergeCell ref="AE436:AE436"/>
    <mergeCell ref="AF436:AF436"/>
    <mergeCell ref="A437:A437"/>
    <mergeCell ref="B437:B437"/>
    <mergeCell ref="C437:C437"/>
    <mergeCell ref="F437:F437"/>
    <mergeCell ref="G437:G437"/>
    <mergeCell ref="H437:H437"/>
    <mergeCell ref="M437:M437"/>
    <mergeCell ref="N437:N437"/>
    <mergeCell ref="O437:O437"/>
    <mergeCell ref="P437:P437"/>
    <mergeCell ref="Q437:Q437"/>
    <mergeCell ref="R437:R437"/>
    <mergeCell ref="S437:S437"/>
    <mergeCell ref="X437:X437"/>
    <mergeCell ref="Y437:Y437"/>
    <mergeCell ref="Z437:Z437"/>
    <mergeCell ref="AA437:AA437"/>
    <mergeCell ref="AB437:AB437"/>
    <mergeCell ref="AC437:AC437"/>
    <mergeCell ref="AD437:AD437"/>
    <mergeCell ref="AE437:AE437"/>
    <mergeCell ref="AF437:AF437"/>
    <mergeCell ref="A438:A438"/>
    <mergeCell ref="B438:B438"/>
    <mergeCell ref="C438:C438"/>
    <mergeCell ref="F438:F438"/>
    <mergeCell ref="G438:G438"/>
    <mergeCell ref="H438:H438"/>
    <mergeCell ref="M438:M438"/>
    <mergeCell ref="N438:N438"/>
    <mergeCell ref="O438:O438"/>
    <mergeCell ref="P438:P438"/>
    <mergeCell ref="Q438:Q438"/>
    <mergeCell ref="R438:R438"/>
    <mergeCell ref="S438:S438"/>
    <mergeCell ref="X438:X438"/>
    <mergeCell ref="Y438:Y438"/>
    <mergeCell ref="Z438:Z438"/>
    <mergeCell ref="AA438:AA438"/>
    <mergeCell ref="AB438:AB438"/>
    <mergeCell ref="AC438:AC438"/>
    <mergeCell ref="AD438:AD438"/>
    <mergeCell ref="AE438:AE438"/>
    <mergeCell ref="AF438:AF438"/>
    <mergeCell ref="A439:A439"/>
    <mergeCell ref="B439:B439"/>
    <mergeCell ref="C439:C439"/>
    <mergeCell ref="F439:F439"/>
    <mergeCell ref="G439:G439"/>
    <mergeCell ref="H439:H439"/>
    <mergeCell ref="M439:M439"/>
    <mergeCell ref="N439:N439"/>
    <mergeCell ref="O439:O439"/>
    <mergeCell ref="P439:P439"/>
    <mergeCell ref="Q439:Q439"/>
    <mergeCell ref="R439:R439"/>
    <mergeCell ref="S439:S439"/>
    <mergeCell ref="X439:X439"/>
    <mergeCell ref="Y439:Y439"/>
    <mergeCell ref="Z439:Z439"/>
    <mergeCell ref="AA439:AA439"/>
    <mergeCell ref="AB439:AB439"/>
    <mergeCell ref="AC439:AC439"/>
    <mergeCell ref="AD439:AD439"/>
    <mergeCell ref="AE439:AE439"/>
    <mergeCell ref="AF439:AF439"/>
    <mergeCell ref="A440:A440"/>
    <mergeCell ref="B440:B440"/>
    <mergeCell ref="C440:C440"/>
    <mergeCell ref="F440:F440"/>
    <mergeCell ref="G440:G440"/>
    <mergeCell ref="H440:H440"/>
    <mergeCell ref="M440:M440"/>
    <mergeCell ref="N440:N440"/>
    <mergeCell ref="O440:O440"/>
    <mergeCell ref="P440:P440"/>
    <mergeCell ref="Q440:Q440"/>
    <mergeCell ref="R440:R440"/>
    <mergeCell ref="S440:S440"/>
    <mergeCell ref="X440:X440"/>
    <mergeCell ref="Y440:Y440"/>
    <mergeCell ref="Z440:Z440"/>
    <mergeCell ref="AA440:AA440"/>
    <mergeCell ref="AB440:AB440"/>
    <mergeCell ref="AC440:AC440"/>
    <mergeCell ref="AD440:AD440"/>
    <mergeCell ref="AE440:AE440"/>
    <mergeCell ref="AF440:AF440"/>
    <mergeCell ref="A441:A441"/>
    <mergeCell ref="B441:B441"/>
    <mergeCell ref="C441:C441"/>
    <mergeCell ref="F441:F441"/>
    <mergeCell ref="G441:G441"/>
    <mergeCell ref="H441:H441"/>
    <mergeCell ref="M441:M441"/>
    <mergeCell ref="N441:N441"/>
    <mergeCell ref="O441:O441"/>
    <mergeCell ref="P441:P441"/>
    <mergeCell ref="Q441:Q441"/>
    <mergeCell ref="R441:R441"/>
    <mergeCell ref="S441:S441"/>
    <mergeCell ref="X441:X441"/>
    <mergeCell ref="Y441:Y441"/>
    <mergeCell ref="Z441:Z441"/>
    <mergeCell ref="AA441:AA441"/>
    <mergeCell ref="AB441:AB441"/>
    <mergeCell ref="AC441:AC441"/>
    <mergeCell ref="AD441:AD441"/>
    <mergeCell ref="AE441:AE441"/>
    <mergeCell ref="AF441:AF441"/>
    <mergeCell ref="A442:A442"/>
    <mergeCell ref="B442:B442"/>
    <mergeCell ref="C442:C442"/>
    <mergeCell ref="F442:F442"/>
    <mergeCell ref="G442:G442"/>
    <mergeCell ref="H442:H442"/>
    <mergeCell ref="M442:M442"/>
    <mergeCell ref="N442:N442"/>
    <mergeCell ref="O442:O442"/>
    <mergeCell ref="P442:P442"/>
    <mergeCell ref="Q442:Q442"/>
    <mergeCell ref="R442:R442"/>
    <mergeCell ref="S442:S442"/>
    <mergeCell ref="X442:X442"/>
    <mergeCell ref="Y442:Y442"/>
    <mergeCell ref="Z442:Z442"/>
    <mergeCell ref="AA442:AA442"/>
    <mergeCell ref="AB442:AB442"/>
    <mergeCell ref="AC442:AC442"/>
    <mergeCell ref="AD442:AD442"/>
    <mergeCell ref="AE442:AE442"/>
    <mergeCell ref="AF442:AF442"/>
    <mergeCell ref="A443:A443"/>
    <mergeCell ref="B443:B443"/>
    <mergeCell ref="C443:C443"/>
    <mergeCell ref="F443:F443"/>
    <mergeCell ref="G443:G443"/>
    <mergeCell ref="H443:H443"/>
    <mergeCell ref="M443:M443"/>
    <mergeCell ref="N443:N443"/>
    <mergeCell ref="O443:O443"/>
    <mergeCell ref="P443:P443"/>
    <mergeCell ref="Q443:Q443"/>
    <mergeCell ref="R443:R443"/>
    <mergeCell ref="S443:S443"/>
    <mergeCell ref="X443:X443"/>
    <mergeCell ref="Y443:Y443"/>
    <mergeCell ref="Z443:Z443"/>
    <mergeCell ref="AA443:AA443"/>
    <mergeCell ref="AB443:AB443"/>
    <mergeCell ref="AC443:AC443"/>
    <mergeCell ref="AD443:AD443"/>
    <mergeCell ref="AE443:AE443"/>
    <mergeCell ref="AF443:AF443"/>
    <mergeCell ref="A444:A444"/>
    <mergeCell ref="B444:B444"/>
    <mergeCell ref="C444:C444"/>
    <mergeCell ref="F444:F444"/>
    <mergeCell ref="G444:G444"/>
    <mergeCell ref="H444:H444"/>
    <mergeCell ref="M444:M444"/>
    <mergeCell ref="N444:N444"/>
    <mergeCell ref="O444:O444"/>
    <mergeCell ref="P444:P444"/>
    <mergeCell ref="Q444:Q444"/>
    <mergeCell ref="R444:R444"/>
    <mergeCell ref="S444:S444"/>
    <mergeCell ref="X444:X444"/>
    <mergeCell ref="Y444:Y444"/>
    <mergeCell ref="Z444:Z444"/>
    <mergeCell ref="AA444:AA444"/>
    <mergeCell ref="AB444:AB444"/>
    <mergeCell ref="AC444:AC444"/>
    <mergeCell ref="AD444:AD444"/>
    <mergeCell ref="AE444:AE444"/>
    <mergeCell ref="AF444:AF444"/>
    <mergeCell ref="A445:A445"/>
    <mergeCell ref="B445:B445"/>
    <mergeCell ref="C445:C445"/>
    <mergeCell ref="F445:F445"/>
    <mergeCell ref="G445:G445"/>
    <mergeCell ref="H445:H445"/>
    <mergeCell ref="M445:M445"/>
    <mergeCell ref="N445:N445"/>
    <mergeCell ref="O445:O445"/>
    <mergeCell ref="P445:P445"/>
    <mergeCell ref="Q445:Q445"/>
    <mergeCell ref="R445:R445"/>
    <mergeCell ref="S445:S445"/>
    <mergeCell ref="X445:X445"/>
    <mergeCell ref="Y445:Y445"/>
    <mergeCell ref="Z445:Z445"/>
    <mergeCell ref="AA445:AA445"/>
    <mergeCell ref="AB445:AB445"/>
    <mergeCell ref="AC445:AC445"/>
    <mergeCell ref="AD445:AD445"/>
    <mergeCell ref="AE445:AE445"/>
    <mergeCell ref="AF445:AF445"/>
    <mergeCell ref="A446:A446"/>
    <mergeCell ref="B446:B446"/>
    <mergeCell ref="C446:C446"/>
    <mergeCell ref="F446:F446"/>
    <mergeCell ref="G446:G446"/>
    <mergeCell ref="H446:H446"/>
    <mergeCell ref="M446:M446"/>
    <mergeCell ref="N446:N446"/>
    <mergeCell ref="O446:O446"/>
    <mergeCell ref="P446:P446"/>
    <mergeCell ref="Q446:Q446"/>
    <mergeCell ref="R446:R446"/>
    <mergeCell ref="S446:S446"/>
    <mergeCell ref="X446:X446"/>
    <mergeCell ref="Y446:Y446"/>
    <mergeCell ref="Z446:Z446"/>
    <mergeCell ref="AA446:AA446"/>
    <mergeCell ref="AB446:AB446"/>
    <mergeCell ref="AC446:AC446"/>
    <mergeCell ref="AD446:AD446"/>
    <mergeCell ref="AE446:AE446"/>
    <mergeCell ref="AF446:AF446"/>
    <mergeCell ref="A447:A447"/>
    <mergeCell ref="B447:B447"/>
    <mergeCell ref="C447:C447"/>
    <mergeCell ref="F447:F447"/>
    <mergeCell ref="G447:G447"/>
    <mergeCell ref="H447:H447"/>
    <mergeCell ref="M447:M447"/>
    <mergeCell ref="N447:N447"/>
    <mergeCell ref="O447:O447"/>
    <mergeCell ref="P447:P447"/>
    <mergeCell ref="Q447:Q447"/>
    <mergeCell ref="R447:R447"/>
    <mergeCell ref="S447:S447"/>
    <mergeCell ref="X447:X447"/>
    <mergeCell ref="Y447:Y447"/>
    <mergeCell ref="Z447:Z447"/>
    <mergeCell ref="AA447:AA447"/>
    <mergeCell ref="AB447:AB447"/>
    <mergeCell ref="AC447:AC447"/>
    <mergeCell ref="AD447:AD447"/>
    <mergeCell ref="AE447:AE447"/>
    <mergeCell ref="AF447:AF447"/>
    <mergeCell ref="A448:A448"/>
    <mergeCell ref="B448:B448"/>
    <mergeCell ref="C448:C448"/>
    <mergeCell ref="F448:F448"/>
    <mergeCell ref="G448:G448"/>
    <mergeCell ref="H448:H448"/>
    <mergeCell ref="M448:M448"/>
    <mergeCell ref="N448:N448"/>
    <mergeCell ref="O448:O448"/>
    <mergeCell ref="P448:P448"/>
    <mergeCell ref="Q448:Q448"/>
    <mergeCell ref="R448:R448"/>
    <mergeCell ref="S448:S448"/>
    <mergeCell ref="X448:X448"/>
    <mergeCell ref="Y448:Y448"/>
    <mergeCell ref="Z448:Z448"/>
    <mergeCell ref="AA448:AA448"/>
    <mergeCell ref="AB448:AB448"/>
    <mergeCell ref="AC448:AC448"/>
    <mergeCell ref="AD448:AD448"/>
    <mergeCell ref="AE448:AE448"/>
    <mergeCell ref="AF448:AF448"/>
    <mergeCell ref="A449:A449"/>
    <mergeCell ref="B449:B449"/>
    <mergeCell ref="C449:C449"/>
    <mergeCell ref="F449:F449"/>
    <mergeCell ref="G449:G449"/>
    <mergeCell ref="H449:H449"/>
    <mergeCell ref="M449:M449"/>
    <mergeCell ref="N449:N449"/>
    <mergeCell ref="O449:O449"/>
    <mergeCell ref="P449:P449"/>
    <mergeCell ref="Q449:Q449"/>
    <mergeCell ref="R449:R449"/>
    <mergeCell ref="S449:S449"/>
    <mergeCell ref="X449:X449"/>
    <mergeCell ref="Y449:Y449"/>
    <mergeCell ref="Z449:Z449"/>
    <mergeCell ref="AA449:AA449"/>
    <mergeCell ref="AB449:AB449"/>
    <mergeCell ref="AC449:AC449"/>
    <mergeCell ref="AD449:AD449"/>
    <mergeCell ref="AE449:AE449"/>
    <mergeCell ref="AF449:AF449"/>
    <mergeCell ref="A450:A450"/>
    <mergeCell ref="B450:B450"/>
    <mergeCell ref="C450:C450"/>
    <mergeCell ref="F450:F450"/>
    <mergeCell ref="G450:G450"/>
    <mergeCell ref="H450:H450"/>
    <mergeCell ref="M450:M450"/>
    <mergeCell ref="N450:N450"/>
    <mergeCell ref="O450:O450"/>
    <mergeCell ref="P450:P450"/>
    <mergeCell ref="Q450:Q450"/>
    <mergeCell ref="R450:R450"/>
    <mergeCell ref="S450:S450"/>
    <mergeCell ref="X450:X450"/>
    <mergeCell ref="Y450:Y450"/>
    <mergeCell ref="Z450:Z450"/>
    <mergeCell ref="AA450:AA450"/>
    <mergeCell ref="AB450:AB450"/>
    <mergeCell ref="AC450:AC450"/>
    <mergeCell ref="AD450:AD450"/>
    <mergeCell ref="AE450:AE450"/>
    <mergeCell ref="AF450:AF450"/>
    <mergeCell ref="A451:A451"/>
    <mergeCell ref="B451:B451"/>
    <mergeCell ref="C451:C451"/>
    <mergeCell ref="F451:F451"/>
    <mergeCell ref="G451:G451"/>
    <mergeCell ref="H451:H451"/>
    <mergeCell ref="M451:M451"/>
    <mergeCell ref="N451:N451"/>
    <mergeCell ref="O451:O451"/>
    <mergeCell ref="P451:P451"/>
    <mergeCell ref="Q451:Q451"/>
    <mergeCell ref="R451:R451"/>
    <mergeCell ref="S451:S451"/>
    <mergeCell ref="X451:X451"/>
    <mergeCell ref="Y451:Y451"/>
    <mergeCell ref="Z451:Z451"/>
    <mergeCell ref="AA451:AA451"/>
    <mergeCell ref="AB451:AB451"/>
    <mergeCell ref="AC451:AC451"/>
    <mergeCell ref="AD451:AD451"/>
    <mergeCell ref="AE451:AE451"/>
    <mergeCell ref="AF451:AF451"/>
    <mergeCell ref="A452:A452"/>
    <mergeCell ref="B452:B452"/>
    <mergeCell ref="C452:C452"/>
    <mergeCell ref="F452:F452"/>
    <mergeCell ref="G452:G452"/>
    <mergeCell ref="H452:H452"/>
    <mergeCell ref="M452:M452"/>
    <mergeCell ref="N452:N452"/>
    <mergeCell ref="O452:O452"/>
    <mergeCell ref="P452:P452"/>
    <mergeCell ref="Q452:Q452"/>
    <mergeCell ref="R452:R452"/>
    <mergeCell ref="S452:S452"/>
    <mergeCell ref="X452:X452"/>
    <mergeCell ref="Y452:Y452"/>
    <mergeCell ref="Z452:Z452"/>
    <mergeCell ref="AA452:AA452"/>
    <mergeCell ref="AB452:AB452"/>
    <mergeCell ref="AC452:AC452"/>
    <mergeCell ref="AD452:AD452"/>
    <mergeCell ref="AE452:AE452"/>
    <mergeCell ref="AF452:AF452"/>
    <mergeCell ref="A453:A453"/>
    <mergeCell ref="B453:B453"/>
    <mergeCell ref="C453:C453"/>
    <mergeCell ref="F453:F453"/>
    <mergeCell ref="G453:G453"/>
    <mergeCell ref="H453:H453"/>
    <mergeCell ref="M453:M453"/>
    <mergeCell ref="N453:N453"/>
    <mergeCell ref="O453:O453"/>
    <mergeCell ref="P453:P453"/>
    <mergeCell ref="Q453:Q453"/>
    <mergeCell ref="R453:R453"/>
    <mergeCell ref="S453:S453"/>
    <mergeCell ref="X453:X453"/>
    <mergeCell ref="Y453:Y453"/>
    <mergeCell ref="Z453:Z453"/>
    <mergeCell ref="AA453:AA453"/>
    <mergeCell ref="AB453:AB453"/>
    <mergeCell ref="AC453:AC453"/>
    <mergeCell ref="AD453:AD453"/>
    <mergeCell ref="AE453:AE453"/>
    <mergeCell ref="AF453:AF453"/>
    <mergeCell ref="A454:A454"/>
    <mergeCell ref="B454:B454"/>
    <mergeCell ref="C454:C454"/>
    <mergeCell ref="F454:F454"/>
    <mergeCell ref="G454:G454"/>
    <mergeCell ref="H454:H454"/>
    <mergeCell ref="M454:M454"/>
    <mergeCell ref="N454:N454"/>
    <mergeCell ref="O454:O454"/>
    <mergeCell ref="P454:P454"/>
    <mergeCell ref="Q454:Q454"/>
    <mergeCell ref="R454:R454"/>
    <mergeCell ref="S454:S454"/>
    <mergeCell ref="X454:X454"/>
    <mergeCell ref="Y454:Y454"/>
    <mergeCell ref="Z454:Z454"/>
    <mergeCell ref="AA454:AA454"/>
    <mergeCell ref="AB454:AB454"/>
    <mergeCell ref="AC454:AC454"/>
    <mergeCell ref="AD454:AD454"/>
    <mergeCell ref="AE454:AE454"/>
    <mergeCell ref="AF454:AF454"/>
    <mergeCell ref="A455:A455"/>
    <mergeCell ref="B455:B455"/>
    <mergeCell ref="C455:C455"/>
    <mergeCell ref="F455:F455"/>
    <mergeCell ref="G455:G455"/>
    <mergeCell ref="H455:H455"/>
    <mergeCell ref="M455:M455"/>
    <mergeCell ref="N455:N455"/>
    <mergeCell ref="O455:O455"/>
    <mergeCell ref="P455:P455"/>
    <mergeCell ref="Q455:Q455"/>
    <mergeCell ref="R455:R455"/>
    <mergeCell ref="S455:S455"/>
    <mergeCell ref="X455:X455"/>
    <mergeCell ref="Y455:Y455"/>
    <mergeCell ref="Z455:Z455"/>
    <mergeCell ref="AA455:AA455"/>
    <mergeCell ref="AB455:AB455"/>
    <mergeCell ref="AC455:AC455"/>
    <mergeCell ref="AD455:AD455"/>
    <mergeCell ref="AE455:AE455"/>
    <mergeCell ref="AF455:AF455"/>
    <mergeCell ref="A456:A456"/>
    <mergeCell ref="B456:B456"/>
    <mergeCell ref="C456:C456"/>
    <mergeCell ref="F456:F456"/>
    <mergeCell ref="G456:G456"/>
    <mergeCell ref="H456:H456"/>
    <mergeCell ref="M456:M456"/>
    <mergeCell ref="N456:N456"/>
    <mergeCell ref="O456:O456"/>
    <mergeCell ref="P456:P456"/>
    <mergeCell ref="Q456:Q456"/>
    <mergeCell ref="R456:R456"/>
    <mergeCell ref="S456:S456"/>
    <mergeCell ref="X456:X456"/>
    <mergeCell ref="Y456:Y456"/>
    <mergeCell ref="Z456:Z456"/>
    <mergeCell ref="AA456:AA456"/>
    <mergeCell ref="AB456:AB456"/>
    <mergeCell ref="AC456:AC456"/>
    <mergeCell ref="AD456:AD456"/>
    <mergeCell ref="AE456:AE456"/>
    <mergeCell ref="AF456:AF456"/>
    <mergeCell ref="A457:A457"/>
    <mergeCell ref="B457:B457"/>
    <mergeCell ref="C457:C457"/>
    <mergeCell ref="F457:F457"/>
    <mergeCell ref="G457:G457"/>
    <mergeCell ref="H457:H457"/>
    <mergeCell ref="M457:M457"/>
    <mergeCell ref="N457:N457"/>
    <mergeCell ref="O457:O457"/>
    <mergeCell ref="P457:P457"/>
    <mergeCell ref="Q457:Q457"/>
    <mergeCell ref="R457:R457"/>
    <mergeCell ref="S457:S457"/>
    <mergeCell ref="X457:X457"/>
    <mergeCell ref="Y457:Y457"/>
    <mergeCell ref="Z457:Z457"/>
    <mergeCell ref="AA457:AA457"/>
    <mergeCell ref="AB457:AB457"/>
    <mergeCell ref="AC457:AC457"/>
    <mergeCell ref="AD457:AD457"/>
    <mergeCell ref="AE457:AE457"/>
    <mergeCell ref="AF457:AF457"/>
    <mergeCell ref="A458:A458"/>
    <mergeCell ref="B458:B458"/>
    <mergeCell ref="C458:C458"/>
    <mergeCell ref="F458:F458"/>
    <mergeCell ref="G458:G458"/>
    <mergeCell ref="H458:H458"/>
    <mergeCell ref="M458:M458"/>
    <mergeCell ref="N458:N458"/>
    <mergeCell ref="O458:O458"/>
    <mergeCell ref="P458:P458"/>
    <mergeCell ref="Q458:Q458"/>
    <mergeCell ref="R458:R458"/>
    <mergeCell ref="S458:S458"/>
    <mergeCell ref="X458:X458"/>
    <mergeCell ref="Y458:Y458"/>
    <mergeCell ref="Z458:Z458"/>
    <mergeCell ref="AA458:AA458"/>
    <mergeCell ref="AB458:AB458"/>
    <mergeCell ref="AC458:AC458"/>
    <mergeCell ref="AD458:AD458"/>
    <mergeCell ref="AE458:AE458"/>
    <mergeCell ref="AF458:AF458"/>
    <mergeCell ref="A459:A459"/>
    <mergeCell ref="B459:B459"/>
    <mergeCell ref="C459:C459"/>
    <mergeCell ref="F459:F459"/>
    <mergeCell ref="G459:G459"/>
    <mergeCell ref="H459:H459"/>
    <mergeCell ref="M459:M459"/>
    <mergeCell ref="N459:N459"/>
    <mergeCell ref="O459:O459"/>
    <mergeCell ref="P459:P459"/>
    <mergeCell ref="Q459:Q459"/>
    <mergeCell ref="R459:R459"/>
    <mergeCell ref="S459:S459"/>
    <mergeCell ref="X459:X459"/>
    <mergeCell ref="Y459:Y459"/>
    <mergeCell ref="Z459:Z459"/>
    <mergeCell ref="AA459:AA459"/>
    <mergeCell ref="AB459:AB459"/>
    <mergeCell ref="AC459:AC459"/>
    <mergeCell ref="AD459:AD459"/>
    <mergeCell ref="AE459:AE459"/>
    <mergeCell ref="AF459:AF459"/>
    <mergeCell ref="A460:A460"/>
    <mergeCell ref="B460:B460"/>
    <mergeCell ref="C460:C460"/>
    <mergeCell ref="F460:F460"/>
    <mergeCell ref="G460:G460"/>
    <mergeCell ref="H460:H460"/>
    <mergeCell ref="M460:M460"/>
    <mergeCell ref="N460:N460"/>
    <mergeCell ref="O460:O460"/>
    <mergeCell ref="P460:P460"/>
    <mergeCell ref="Q460:Q460"/>
    <mergeCell ref="R460:R460"/>
    <mergeCell ref="S460:S460"/>
    <mergeCell ref="X460:X460"/>
    <mergeCell ref="Y460:Y460"/>
    <mergeCell ref="Z460:Z460"/>
    <mergeCell ref="AA460:AA460"/>
    <mergeCell ref="AB460:AB460"/>
    <mergeCell ref="AC460:AC460"/>
    <mergeCell ref="AD460:AD460"/>
    <mergeCell ref="AE460:AE460"/>
    <mergeCell ref="AF460:AF460"/>
    <mergeCell ref="A461:A461"/>
    <mergeCell ref="B461:B461"/>
    <mergeCell ref="C461:C461"/>
    <mergeCell ref="F461:F461"/>
    <mergeCell ref="G461:G461"/>
    <mergeCell ref="H461:H461"/>
    <mergeCell ref="M461:M461"/>
    <mergeCell ref="N461:N461"/>
    <mergeCell ref="O461:O461"/>
    <mergeCell ref="P461:P461"/>
    <mergeCell ref="Q461:Q461"/>
    <mergeCell ref="R461:R461"/>
    <mergeCell ref="S461:S461"/>
    <mergeCell ref="X461:X461"/>
    <mergeCell ref="Y461:Y461"/>
    <mergeCell ref="Z461:Z461"/>
    <mergeCell ref="AA461:AA461"/>
    <mergeCell ref="AB461:AB461"/>
    <mergeCell ref="AC461:AC461"/>
    <mergeCell ref="AD461:AD461"/>
    <mergeCell ref="AE461:AE461"/>
    <mergeCell ref="AF461:AF461"/>
    <mergeCell ref="A462:A462"/>
    <mergeCell ref="B462:B462"/>
    <mergeCell ref="C462:C462"/>
    <mergeCell ref="F462:F462"/>
    <mergeCell ref="G462:G462"/>
    <mergeCell ref="H462:H462"/>
    <mergeCell ref="M462:M462"/>
    <mergeCell ref="N462:N462"/>
    <mergeCell ref="O462:O462"/>
    <mergeCell ref="P462:P462"/>
    <mergeCell ref="Q462:Q462"/>
    <mergeCell ref="R462:R462"/>
    <mergeCell ref="S462:S462"/>
    <mergeCell ref="X462:X462"/>
    <mergeCell ref="Y462:Y462"/>
    <mergeCell ref="Z462:Z462"/>
    <mergeCell ref="AA462:AA462"/>
    <mergeCell ref="AB462:AB462"/>
    <mergeCell ref="AC462:AC462"/>
    <mergeCell ref="AD462:AD462"/>
    <mergeCell ref="AE462:AE462"/>
    <mergeCell ref="AF462:AF462"/>
    <mergeCell ref="A463:A463"/>
    <mergeCell ref="B463:B463"/>
    <mergeCell ref="C463:C463"/>
    <mergeCell ref="F463:F463"/>
    <mergeCell ref="G463:G463"/>
    <mergeCell ref="H463:H463"/>
    <mergeCell ref="M463:M463"/>
    <mergeCell ref="N463:N463"/>
    <mergeCell ref="O463:O463"/>
    <mergeCell ref="P463:P463"/>
    <mergeCell ref="Q463:Q463"/>
    <mergeCell ref="R463:R463"/>
    <mergeCell ref="S463:S463"/>
    <mergeCell ref="X463:X463"/>
    <mergeCell ref="Y463:Y463"/>
    <mergeCell ref="Z463:Z463"/>
    <mergeCell ref="AA463:AA463"/>
    <mergeCell ref="AB463:AB463"/>
    <mergeCell ref="AC463:AC463"/>
    <mergeCell ref="AD463:AD463"/>
    <mergeCell ref="AE463:AE463"/>
    <mergeCell ref="AF463:AF463"/>
    <mergeCell ref="A464:A464"/>
    <mergeCell ref="B464:B464"/>
    <mergeCell ref="C464:C464"/>
    <mergeCell ref="F464:F464"/>
    <mergeCell ref="G464:G464"/>
    <mergeCell ref="H464:H464"/>
    <mergeCell ref="M464:M464"/>
    <mergeCell ref="N464:N464"/>
    <mergeCell ref="O464:O464"/>
    <mergeCell ref="P464:P464"/>
    <mergeCell ref="Q464:Q464"/>
    <mergeCell ref="R464:R464"/>
    <mergeCell ref="S464:S464"/>
    <mergeCell ref="X464:X464"/>
    <mergeCell ref="Y464:Y464"/>
    <mergeCell ref="Z464:Z464"/>
    <mergeCell ref="AA464:AA464"/>
    <mergeCell ref="AB464:AB464"/>
    <mergeCell ref="AC464:AC464"/>
    <mergeCell ref="AD464:AD464"/>
    <mergeCell ref="AE464:AE464"/>
    <mergeCell ref="AF464:AF464"/>
    <mergeCell ref="A465:A465"/>
    <mergeCell ref="B465:B465"/>
    <mergeCell ref="C465:C465"/>
    <mergeCell ref="F465:F465"/>
    <mergeCell ref="G465:G465"/>
    <mergeCell ref="H465:H465"/>
    <mergeCell ref="M465:M465"/>
    <mergeCell ref="N465:N465"/>
    <mergeCell ref="O465:O465"/>
    <mergeCell ref="P465:P465"/>
    <mergeCell ref="Q465:Q465"/>
    <mergeCell ref="R465:R465"/>
    <mergeCell ref="S465:S465"/>
    <mergeCell ref="X465:X465"/>
    <mergeCell ref="Y465:Y465"/>
    <mergeCell ref="Z465:Z465"/>
    <mergeCell ref="AA465:AA465"/>
    <mergeCell ref="AB465:AB465"/>
    <mergeCell ref="AC465:AC465"/>
    <mergeCell ref="AD465:AD465"/>
    <mergeCell ref="AE465:AE465"/>
    <mergeCell ref="AF465:AF465"/>
    <mergeCell ref="A466:A466"/>
    <mergeCell ref="B466:B466"/>
    <mergeCell ref="C466:C466"/>
    <mergeCell ref="F466:F466"/>
    <mergeCell ref="G466:G466"/>
    <mergeCell ref="H466:H466"/>
    <mergeCell ref="M466:M466"/>
    <mergeCell ref="N466:N466"/>
    <mergeCell ref="O466:O466"/>
    <mergeCell ref="P466:P466"/>
    <mergeCell ref="Q466:Q466"/>
    <mergeCell ref="R466:R466"/>
    <mergeCell ref="S466:S466"/>
    <mergeCell ref="X466:X466"/>
    <mergeCell ref="Y466:Y466"/>
    <mergeCell ref="Z466:Z466"/>
    <mergeCell ref="AA466:AA466"/>
    <mergeCell ref="AB466:AB466"/>
    <mergeCell ref="AC466:AC466"/>
    <mergeCell ref="AD466:AD466"/>
    <mergeCell ref="AE466:AE466"/>
    <mergeCell ref="AF466:AF466"/>
    <mergeCell ref="A467:A467"/>
    <mergeCell ref="B467:B467"/>
    <mergeCell ref="C467:C467"/>
    <mergeCell ref="F467:F467"/>
    <mergeCell ref="G467:G467"/>
    <mergeCell ref="H467:H467"/>
    <mergeCell ref="M467:M467"/>
    <mergeCell ref="N467:N467"/>
    <mergeCell ref="O467:O467"/>
    <mergeCell ref="P467:P467"/>
    <mergeCell ref="Q467:Q467"/>
    <mergeCell ref="R467:R467"/>
    <mergeCell ref="S467:S467"/>
    <mergeCell ref="X467:X467"/>
    <mergeCell ref="Y467:Y467"/>
    <mergeCell ref="Z467:Z467"/>
    <mergeCell ref="AA467:AA467"/>
    <mergeCell ref="AB467:AB467"/>
    <mergeCell ref="AC467:AC467"/>
    <mergeCell ref="AD467:AD467"/>
    <mergeCell ref="AE467:AE467"/>
    <mergeCell ref="AF467:AF467"/>
    <mergeCell ref="A468:A468"/>
    <mergeCell ref="B468:B468"/>
    <mergeCell ref="C468:C468"/>
    <mergeCell ref="F468:F468"/>
    <mergeCell ref="G468:G468"/>
    <mergeCell ref="H468:H468"/>
    <mergeCell ref="M468:M468"/>
    <mergeCell ref="N468:N468"/>
    <mergeCell ref="O468:O468"/>
    <mergeCell ref="P468:P468"/>
    <mergeCell ref="Q468:Q468"/>
    <mergeCell ref="R468:R468"/>
    <mergeCell ref="S468:S468"/>
    <mergeCell ref="X468:X468"/>
    <mergeCell ref="Y468:Y468"/>
    <mergeCell ref="Z468:Z468"/>
    <mergeCell ref="AA468:AA468"/>
    <mergeCell ref="AB468:AB468"/>
    <mergeCell ref="AC468:AC468"/>
    <mergeCell ref="AD468:AD468"/>
    <mergeCell ref="AE468:AE468"/>
    <mergeCell ref="AF468:AF468"/>
    <mergeCell ref="A469:A469"/>
    <mergeCell ref="B469:B469"/>
    <mergeCell ref="C469:C469"/>
    <mergeCell ref="F469:F469"/>
    <mergeCell ref="G469:G469"/>
    <mergeCell ref="H469:H469"/>
    <mergeCell ref="M469:M469"/>
    <mergeCell ref="N469:N469"/>
    <mergeCell ref="O469:O469"/>
    <mergeCell ref="P469:P469"/>
    <mergeCell ref="Q469:Q469"/>
    <mergeCell ref="R469:R469"/>
    <mergeCell ref="S469:S469"/>
    <mergeCell ref="X469:X469"/>
    <mergeCell ref="Y469:Y469"/>
    <mergeCell ref="Z469:Z469"/>
    <mergeCell ref="AA469:AA469"/>
    <mergeCell ref="AB469:AB469"/>
    <mergeCell ref="AC469:AC469"/>
    <mergeCell ref="AD469:AD469"/>
    <mergeCell ref="AE469:AE469"/>
    <mergeCell ref="AF469:AF469"/>
    <mergeCell ref="A470:A470"/>
    <mergeCell ref="B470:B470"/>
    <mergeCell ref="C470:C470"/>
    <mergeCell ref="F470:F470"/>
    <mergeCell ref="G470:G470"/>
    <mergeCell ref="H470:H470"/>
    <mergeCell ref="M470:M470"/>
    <mergeCell ref="N470:N470"/>
    <mergeCell ref="O470:O470"/>
    <mergeCell ref="P470:P470"/>
    <mergeCell ref="Q470:Q470"/>
    <mergeCell ref="R470:R470"/>
    <mergeCell ref="S470:S470"/>
    <mergeCell ref="X470:X470"/>
    <mergeCell ref="Y470:Y470"/>
    <mergeCell ref="Z470:Z470"/>
    <mergeCell ref="AA470:AA470"/>
    <mergeCell ref="AB470:AB470"/>
    <mergeCell ref="AC470:AC470"/>
    <mergeCell ref="AD470:AD470"/>
    <mergeCell ref="AE470:AE470"/>
    <mergeCell ref="AF470:AF470"/>
    <mergeCell ref="A471:A471"/>
    <mergeCell ref="B471:B471"/>
    <mergeCell ref="C471:C471"/>
    <mergeCell ref="F471:F471"/>
    <mergeCell ref="G471:G471"/>
    <mergeCell ref="H471:H471"/>
    <mergeCell ref="M471:M471"/>
    <mergeCell ref="N471:N471"/>
    <mergeCell ref="O471:O471"/>
    <mergeCell ref="P471:P471"/>
    <mergeCell ref="Q471:Q471"/>
    <mergeCell ref="R471:R471"/>
    <mergeCell ref="S471:S471"/>
    <mergeCell ref="X471:X471"/>
    <mergeCell ref="Y471:Y471"/>
    <mergeCell ref="Z471:Z471"/>
    <mergeCell ref="AA471:AA471"/>
    <mergeCell ref="AB471:AB471"/>
    <mergeCell ref="AC471:AC471"/>
    <mergeCell ref="AD471:AD471"/>
    <mergeCell ref="AE471:AE471"/>
    <mergeCell ref="AF471:AF471"/>
    <mergeCell ref="A472:A472"/>
    <mergeCell ref="B472:B472"/>
    <mergeCell ref="C472:C472"/>
    <mergeCell ref="F472:F472"/>
    <mergeCell ref="G472:G472"/>
    <mergeCell ref="H472:H472"/>
    <mergeCell ref="M472:M472"/>
    <mergeCell ref="N472:N472"/>
    <mergeCell ref="O472:O472"/>
    <mergeCell ref="P472:P472"/>
    <mergeCell ref="Q472:Q472"/>
    <mergeCell ref="R472:R472"/>
    <mergeCell ref="S472:S472"/>
    <mergeCell ref="X472:X472"/>
    <mergeCell ref="Y472:Y472"/>
    <mergeCell ref="Z472:Z472"/>
    <mergeCell ref="AA472:AA472"/>
    <mergeCell ref="AB472:AB472"/>
    <mergeCell ref="AC472:AC472"/>
    <mergeCell ref="AD472:AD472"/>
    <mergeCell ref="AE472:AE472"/>
    <mergeCell ref="AF472:AF472"/>
    <mergeCell ref="A473:A473"/>
    <mergeCell ref="B473:B473"/>
    <mergeCell ref="C473:C473"/>
    <mergeCell ref="F473:F473"/>
    <mergeCell ref="G473:G473"/>
    <mergeCell ref="H473:H473"/>
    <mergeCell ref="M473:M473"/>
    <mergeCell ref="N473:N473"/>
    <mergeCell ref="O473:O473"/>
    <mergeCell ref="P473:P473"/>
    <mergeCell ref="Q473:Q473"/>
    <mergeCell ref="R473:R473"/>
    <mergeCell ref="S473:S473"/>
    <mergeCell ref="X473:X473"/>
    <mergeCell ref="Y473:Y473"/>
    <mergeCell ref="Z473:Z473"/>
    <mergeCell ref="AA473:AA473"/>
    <mergeCell ref="AB473:AB473"/>
    <mergeCell ref="AC473:AC473"/>
    <mergeCell ref="AD473:AD473"/>
    <mergeCell ref="AE473:AE473"/>
    <mergeCell ref="AF473:AF473"/>
    <mergeCell ref="A474:A474"/>
    <mergeCell ref="B474:B474"/>
    <mergeCell ref="C474:C474"/>
    <mergeCell ref="F474:F474"/>
    <mergeCell ref="G474:G474"/>
    <mergeCell ref="H474:H474"/>
    <mergeCell ref="M474:M474"/>
    <mergeCell ref="N474:N474"/>
    <mergeCell ref="O474:O474"/>
    <mergeCell ref="P474:P474"/>
    <mergeCell ref="Q474:Q474"/>
    <mergeCell ref="R474:R474"/>
    <mergeCell ref="S474:S474"/>
    <mergeCell ref="X474:X474"/>
    <mergeCell ref="Y474:Y474"/>
    <mergeCell ref="Z474:Z474"/>
    <mergeCell ref="AA474:AA474"/>
    <mergeCell ref="AB474:AB474"/>
    <mergeCell ref="AC474:AC474"/>
    <mergeCell ref="AD474:AD474"/>
    <mergeCell ref="AE474:AE474"/>
    <mergeCell ref="AF474:AF474"/>
    <mergeCell ref="A475:A475"/>
    <mergeCell ref="B475:B475"/>
    <mergeCell ref="C475:C475"/>
    <mergeCell ref="F475:F475"/>
    <mergeCell ref="G475:G475"/>
    <mergeCell ref="H475:H475"/>
    <mergeCell ref="M475:M475"/>
    <mergeCell ref="N475:N475"/>
    <mergeCell ref="O475:O475"/>
    <mergeCell ref="P475:P475"/>
    <mergeCell ref="Q475:Q475"/>
    <mergeCell ref="R475:R475"/>
    <mergeCell ref="S475:S475"/>
    <mergeCell ref="X475:X475"/>
    <mergeCell ref="Y475:Y475"/>
    <mergeCell ref="Z475:Z475"/>
    <mergeCell ref="AA475:AA475"/>
    <mergeCell ref="AB475:AB475"/>
    <mergeCell ref="AC475:AC475"/>
    <mergeCell ref="AD475:AD475"/>
    <mergeCell ref="AE475:AE475"/>
    <mergeCell ref="AF475:AF475"/>
    <mergeCell ref="A476:A476"/>
    <mergeCell ref="B476:B476"/>
    <mergeCell ref="C476:C476"/>
    <mergeCell ref="F476:F476"/>
    <mergeCell ref="G476:G476"/>
    <mergeCell ref="H476:H476"/>
    <mergeCell ref="M476:M476"/>
    <mergeCell ref="N476:N476"/>
    <mergeCell ref="O476:O476"/>
    <mergeCell ref="P476:P476"/>
    <mergeCell ref="Q476:Q476"/>
    <mergeCell ref="R476:R476"/>
    <mergeCell ref="S476:S476"/>
    <mergeCell ref="X476:X476"/>
    <mergeCell ref="Y476:Y476"/>
    <mergeCell ref="Z476:Z476"/>
    <mergeCell ref="AA476:AA476"/>
    <mergeCell ref="AB476:AB476"/>
    <mergeCell ref="AC476:AC476"/>
    <mergeCell ref="AD476:AD476"/>
    <mergeCell ref="AE476:AE476"/>
    <mergeCell ref="AF476:AF476"/>
    <mergeCell ref="A477:A477"/>
    <mergeCell ref="B477:B477"/>
    <mergeCell ref="C477:C477"/>
    <mergeCell ref="F477:F477"/>
    <mergeCell ref="G477:G477"/>
    <mergeCell ref="H477:H477"/>
    <mergeCell ref="M477:M477"/>
    <mergeCell ref="N477:N477"/>
    <mergeCell ref="O477:O477"/>
    <mergeCell ref="P477:P477"/>
    <mergeCell ref="Q477:Q477"/>
    <mergeCell ref="R477:R477"/>
    <mergeCell ref="S477:S477"/>
    <mergeCell ref="X477:X477"/>
    <mergeCell ref="Y477:Y477"/>
    <mergeCell ref="Z477:Z477"/>
    <mergeCell ref="AA477:AA477"/>
    <mergeCell ref="AB477:AB477"/>
    <mergeCell ref="AC477:AC477"/>
    <mergeCell ref="AD477:AD477"/>
    <mergeCell ref="AE477:AE477"/>
    <mergeCell ref="AF477:AF477"/>
    <mergeCell ref="A478:A478"/>
    <mergeCell ref="B478:B478"/>
    <mergeCell ref="C478:C478"/>
    <mergeCell ref="F478:F478"/>
    <mergeCell ref="G478:G478"/>
    <mergeCell ref="H478:H478"/>
    <mergeCell ref="M478:M478"/>
    <mergeCell ref="N478:N478"/>
    <mergeCell ref="O478:O478"/>
    <mergeCell ref="P478:P478"/>
    <mergeCell ref="Q478:Q478"/>
    <mergeCell ref="R478:R478"/>
    <mergeCell ref="S478:S478"/>
    <mergeCell ref="X478:X478"/>
    <mergeCell ref="Y478:Y478"/>
    <mergeCell ref="Z478:Z478"/>
    <mergeCell ref="AA478:AA478"/>
    <mergeCell ref="AB478:AB478"/>
    <mergeCell ref="AC478:AC478"/>
    <mergeCell ref="AD478:AD478"/>
    <mergeCell ref="AE478:AE478"/>
    <mergeCell ref="AF478:AF478"/>
    <mergeCell ref="A479:A479"/>
    <mergeCell ref="B479:B479"/>
    <mergeCell ref="C479:C479"/>
    <mergeCell ref="F479:F479"/>
    <mergeCell ref="G479:G479"/>
    <mergeCell ref="H479:H479"/>
    <mergeCell ref="M479:M479"/>
    <mergeCell ref="N479:N479"/>
    <mergeCell ref="O479:O479"/>
    <mergeCell ref="P479:P479"/>
    <mergeCell ref="Q479:Q479"/>
    <mergeCell ref="R479:R479"/>
    <mergeCell ref="S479:S479"/>
    <mergeCell ref="X479:X479"/>
    <mergeCell ref="Y479:Y479"/>
    <mergeCell ref="Z479:Z479"/>
    <mergeCell ref="AA479:AA479"/>
    <mergeCell ref="AB479:AB479"/>
    <mergeCell ref="AC479:AC479"/>
    <mergeCell ref="AD479:AD479"/>
    <mergeCell ref="AE479:AE479"/>
    <mergeCell ref="AF479:AF479"/>
    <mergeCell ref="A480:A480"/>
    <mergeCell ref="B480:B480"/>
    <mergeCell ref="C480:C480"/>
    <mergeCell ref="F480:F480"/>
    <mergeCell ref="G480:G480"/>
    <mergeCell ref="H480:H480"/>
    <mergeCell ref="M480:M480"/>
    <mergeCell ref="N480:N480"/>
    <mergeCell ref="O480:O480"/>
    <mergeCell ref="P480:P480"/>
    <mergeCell ref="Q480:Q480"/>
    <mergeCell ref="R480:R480"/>
    <mergeCell ref="S480:S480"/>
    <mergeCell ref="X480:X480"/>
    <mergeCell ref="Y480:Y480"/>
    <mergeCell ref="Z480:Z480"/>
    <mergeCell ref="AA480:AA480"/>
    <mergeCell ref="AB480:AB480"/>
    <mergeCell ref="AC480:AC480"/>
    <mergeCell ref="AD480:AD480"/>
    <mergeCell ref="AE480:AE480"/>
    <mergeCell ref="AF480:AF480"/>
    <mergeCell ref="A481:A481"/>
    <mergeCell ref="B481:B481"/>
    <mergeCell ref="C481:C481"/>
    <mergeCell ref="F481:F481"/>
    <mergeCell ref="G481:G481"/>
    <mergeCell ref="H481:H481"/>
    <mergeCell ref="M481:M481"/>
    <mergeCell ref="N481:N481"/>
    <mergeCell ref="O481:O481"/>
    <mergeCell ref="P481:P481"/>
    <mergeCell ref="Q481:Q481"/>
    <mergeCell ref="R481:R481"/>
    <mergeCell ref="S481:S481"/>
    <mergeCell ref="X481:X481"/>
    <mergeCell ref="Y481:Y481"/>
    <mergeCell ref="Z481:Z481"/>
    <mergeCell ref="AA481:AA481"/>
    <mergeCell ref="AB481:AB481"/>
    <mergeCell ref="AC481:AC481"/>
    <mergeCell ref="AD481:AD481"/>
    <mergeCell ref="AE481:AE481"/>
    <mergeCell ref="AF481:AF481"/>
    <mergeCell ref="A482:A482"/>
    <mergeCell ref="B482:B482"/>
    <mergeCell ref="C482:C482"/>
    <mergeCell ref="F482:F482"/>
    <mergeCell ref="G482:G482"/>
    <mergeCell ref="H482:H482"/>
    <mergeCell ref="M482:M482"/>
    <mergeCell ref="N482:N482"/>
    <mergeCell ref="O482:O482"/>
    <mergeCell ref="P482:P482"/>
    <mergeCell ref="Q482:Q482"/>
    <mergeCell ref="R482:R482"/>
    <mergeCell ref="S482:S482"/>
    <mergeCell ref="X482:X482"/>
    <mergeCell ref="Y482:Y482"/>
    <mergeCell ref="Z482:Z482"/>
    <mergeCell ref="AA482:AA482"/>
    <mergeCell ref="AB482:AB482"/>
    <mergeCell ref="AC482:AC482"/>
    <mergeCell ref="AD482:AD482"/>
    <mergeCell ref="AE482:AE482"/>
    <mergeCell ref="AF482:AF482"/>
    <mergeCell ref="A483:A483"/>
    <mergeCell ref="B483:B483"/>
    <mergeCell ref="C483:C483"/>
    <mergeCell ref="F483:F483"/>
    <mergeCell ref="G483:G483"/>
    <mergeCell ref="H483:H483"/>
    <mergeCell ref="M483:M483"/>
    <mergeCell ref="N483:N483"/>
    <mergeCell ref="O483:O483"/>
    <mergeCell ref="P483:P483"/>
    <mergeCell ref="Q483:Q483"/>
    <mergeCell ref="R483:R483"/>
    <mergeCell ref="S483:S483"/>
    <mergeCell ref="X483:X483"/>
    <mergeCell ref="Y483:Y483"/>
    <mergeCell ref="Z483:Z483"/>
    <mergeCell ref="AA483:AA483"/>
    <mergeCell ref="AB483:AB483"/>
    <mergeCell ref="AC483:AC483"/>
    <mergeCell ref="AD483:AD483"/>
    <mergeCell ref="AE483:AE483"/>
    <mergeCell ref="AF483:AF483"/>
    <mergeCell ref="A484:A484"/>
    <mergeCell ref="B484:B484"/>
    <mergeCell ref="C484:C484"/>
    <mergeCell ref="F484:F484"/>
    <mergeCell ref="G484:G484"/>
    <mergeCell ref="H484:H484"/>
    <mergeCell ref="M484:M484"/>
    <mergeCell ref="N484:N484"/>
    <mergeCell ref="O484:O484"/>
    <mergeCell ref="P484:P484"/>
    <mergeCell ref="Q484:Q484"/>
    <mergeCell ref="R484:R484"/>
    <mergeCell ref="S484:S484"/>
    <mergeCell ref="X484:X484"/>
    <mergeCell ref="Y484:Y484"/>
    <mergeCell ref="Z484:Z484"/>
    <mergeCell ref="AA484:AA484"/>
    <mergeCell ref="AB484:AB484"/>
    <mergeCell ref="AC484:AC484"/>
    <mergeCell ref="AD484:AD484"/>
    <mergeCell ref="AE484:AE484"/>
    <mergeCell ref="AF484:AF484"/>
    <mergeCell ref="A485:A485"/>
    <mergeCell ref="B485:B485"/>
    <mergeCell ref="C485:C485"/>
    <mergeCell ref="F485:F485"/>
    <mergeCell ref="G485:G485"/>
    <mergeCell ref="H485:H485"/>
    <mergeCell ref="M485:M485"/>
    <mergeCell ref="N485:N485"/>
    <mergeCell ref="O485:O485"/>
    <mergeCell ref="P485:P485"/>
    <mergeCell ref="Q485:Q485"/>
    <mergeCell ref="R485:R485"/>
    <mergeCell ref="S485:S485"/>
    <mergeCell ref="X485:X485"/>
    <mergeCell ref="Y485:Y485"/>
    <mergeCell ref="Z485:Z485"/>
    <mergeCell ref="AA485:AA485"/>
    <mergeCell ref="AB485:AB485"/>
    <mergeCell ref="AC485:AC485"/>
    <mergeCell ref="AD485:AD485"/>
    <mergeCell ref="AE485:AE485"/>
    <mergeCell ref="AF485:AF485"/>
    <mergeCell ref="A486:A486"/>
    <mergeCell ref="B486:B486"/>
    <mergeCell ref="C486:C486"/>
    <mergeCell ref="F486:F486"/>
    <mergeCell ref="G486:G486"/>
    <mergeCell ref="H486:H486"/>
    <mergeCell ref="M486:M486"/>
    <mergeCell ref="N486:N486"/>
    <mergeCell ref="O486:O486"/>
    <mergeCell ref="P486:P486"/>
    <mergeCell ref="Q486:Q486"/>
    <mergeCell ref="R486:R486"/>
    <mergeCell ref="S486:S486"/>
    <mergeCell ref="X486:X486"/>
    <mergeCell ref="Y486:Y486"/>
    <mergeCell ref="Z486:Z486"/>
    <mergeCell ref="AA486:AA486"/>
    <mergeCell ref="AB486:AB486"/>
    <mergeCell ref="AC486:AC486"/>
    <mergeCell ref="AD486:AD486"/>
    <mergeCell ref="AE486:AE486"/>
    <mergeCell ref="AF486:AF486"/>
    <mergeCell ref="A487:A487"/>
    <mergeCell ref="B487:B487"/>
    <mergeCell ref="C487:C487"/>
    <mergeCell ref="F487:F487"/>
    <mergeCell ref="G487:G487"/>
    <mergeCell ref="H487:H487"/>
    <mergeCell ref="M487:M487"/>
    <mergeCell ref="N487:N487"/>
    <mergeCell ref="O487:O487"/>
    <mergeCell ref="P487:P487"/>
    <mergeCell ref="Q487:Q487"/>
    <mergeCell ref="R487:R487"/>
    <mergeCell ref="S487:S487"/>
    <mergeCell ref="X487:X487"/>
    <mergeCell ref="Y487:Y487"/>
    <mergeCell ref="Z487:Z487"/>
    <mergeCell ref="AA487:AA487"/>
    <mergeCell ref="AB487:AB487"/>
    <mergeCell ref="AC487:AC487"/>
    <mergeCell ref="AD487:AD487"/>
    <mergeCell ref="AE487:AE487"/>
    <mergeCell ref="AF487:AF487"/>
    <mergeCell ref="A488:A488"/>
    <mergeCell ref="B488:B488"/>
    <mergeCell ref="C488:C488"/>
    <mergeCell ref="F488:F488"/>
    <mergeCell ref="G488:G488"/>
    <mergeCell ref="H488:H488"/>
    <mergeCell ref="M488:M488"/>
    <mergeCell ref="N488:N488"/>
    <mergeCell ref="O488:O488"/>
    <mergeCell ref="P488:P488"/>
    <mergeCell ref="Q488:Q488"/>
    <mergeCell ref="R488:R488"/>
    <mergeCell ref="S488:S488"/>
    <mergeCell ref="X488:X488"/>
    <mergeCell ref="Y488:Y488"/>
    <mergeCell ref="Z488:Z488"/>
    <mergeCell ref="AA488:AA488"/>
    <mergeCell ref="AB488:AB488"/>
    <mergeCell ref="AC488:AC488"/>
    <mergeCell ref="AD488:AD488"/>
    <mergeCell ref="AE488:AE488"/>
    <mergeCell ref="AF488:AF488"/>
    <mergeCell ref="A489:A489"/>
    <mergeCell ref="B489:B489"/>
    <mergeCell ref="C489:C489"/>
    <mergeCell ref="F489:F489"/>
    <mergeCell ref="G489:G489"/>
    <mergeCell ref="H489:H489"/>
    <mergeCell ref="M489:M489"/>
    <mergeCell ref="N489:N489"/>
    <mergeCell ref="O489:O489"/>
    <mergeCell ref="P489:P489"/>
    <mergeCell ref="Q489:Q489"/>
    <mergeCell ref="R489:R489"/>
    <mergeCell ref="S489:S489"/>
    <mergeCell ref="X489:X489"/>
    <mergeCell ref="Y489:Y489"/>
    <mergeCell ref="Z489:Z489"/>
    <mergeCell ref="AA489:AA489"/>
    <mergeCell ref="AB489:AB489"/>
    <mergeCell ref="AC489:AC489"/>
    <mergeCell ref="AD489:AD489"/>
    <mergeCell ref="AE489:AE489"/>
    <mergeCell ref="AF489:AF489"/>
    <mergeCell ref="A490:A490"/>
    <mergeCell ref="B490:B490"/>
    <mergeCell ref="C490:C490"/>
    <mergeCell ref="F490:F490"/>
    <mergeCell ref="G490:G490"/>
    <mergeCell ref="H490:H490"/>
    <mergeCell ref="M490:M490"/>
    <mergeCell ref="N490:N490"/>
    <mergeCell ref="O490:O490"/>
    <mergeCell ref="P490:P490"/>
    <mergeCell ref="Q490:Q490"/>
    <mergeCell ref="R490:R490"/>
    <mergeCell ref="S490:S490"/>
    <mergeCell ref="X490:X490"/>
    <mergeCell ref="Y490:Y490"/>
    <mergeCell ref="Z490:Z490"/>
    <mergeCell ref="AA490:AA490"/>
    <mergeCell ref="AB490:AB490"/>
    <mergeCell ref="AC490:AC490"/>
    <mergeCell ref="AD490:AD490"/>
    <mergeCell ref="AE490:AE490"/>
    <mergeCell ref="AF490:AF490"/>
    <mergeCell ref="A491:A491"/>
    <mergeCell ref="B491:B491"/>
    <mergeCell ref="C491:C491"/>
    <mergeCell ref="F491:F491"/>
    <mergeCell ref="G491:G491"/>
    <mergeCell ref="H491:H491"/>
    <mergeCell ref="M491:M491"/>
    <mergeCell ref="N491:N491"/>
    <mergeCell ref="O491:O491"/>
    <mergeCell ref="P491:P491"/>
    <mergeCell ref="Q491:Q491"/>
    <mergeCell ref="R491:R491"/>
    <mergeCell ref="S491:S491"/>
    <mergeCell ref="X491:X491"/>
    <mergeCell ref="Y491:Y491"/>
    <mergeCell ref="Z491:Z491"/>
    <mergeCell ref="AA491:AA491"/>
    <mergeCell ref="AB491:AB491"/>
    <mergeCell ref="AC491:AC491"/>
    <mergeCell ref="AD491:AD491"/>
    <mergeCell ref="AE491:AE491"/>
    <mergeCell ref="AF491:AF491"/>
    <mergeCell ref="A492:A492"/>
    <mergeCell ref="B492:B492"/>
    <mergeCell ref="C492:C492"/>
    <mergeCell ref="F492:F492"/>
    <mergeCell ref="G492:G492"/>
    <mergeCell ref="H492:H492"/>
    <mergeCell ref="M492:M492"/>
    <mergeCell ref="N492:N492"/>
    <mergeCell ref="O492:O492"/>
    <mergeCell ref="P492:P492"/>
    <mergeCell ref="Q492:Q492"/>
    <mergeCell ref="R492:R492"/>
    <mergeCell ref="S492:S492"/>
    <mergeCell ref="X492:X492"/>
    <mergeCell ref="Y492:Y492"/>
    <mergeCell ref="Z492:Z492"/>
    <mergeCell ref="AA492:AA492"/>
    <mergeCell ref="AB492:AB492"/>
    <mergeCell ref="AC492:AC492"/>
    <mergeCell ref="AD492:AD492"/>
    <mergeCell ref="AE492:AE492"/>
    <mergeCell ref="AF492:AF492"/>
    <mergeCell ref="A493:A493"/>
    <mergeCell ref="B493:B493"/>
    <mergeCell ref="C493:C493"/>
    <mergeCell ref="F493:F493"/>
    <mergeCell ref="G493:G493"/>
    <mergeCell ref="H493:H493"/>
    <mergeCell ref="M493:M493"/>
    <mergeCell ref="N493:N493"/>
    <mergeCell ref="O493:O493"/>
    <mergeCell ref="P493:P493"/>
    <mergeCell ref="Q493:Q493"/>
    <mergeCell ref="R493:R493"/>
    <mergeCell ref="S493:S493"/>
    <mergeCell ref="X493:X493"/>
    <mergeCell ref="Y493:Y493"/>
    <mergeCell ref="Z493:Z493"/>
    <mergeCell ref="AA493:AA493"/>
    <mergeCell ref="AB493:AB493"/>
    <mergeCell ref="AC493:AC493"/>
    <mergeCell ref="AD493:AD493"/>
    <mergeCell ref="AE493:AE493"/>
    <mergeCell ref="AF493:AF493"/>
    <mergeCell ref="A494:A494"/>
    <mergeCell ref="B494:B494"/>
    <mergeCell ref="C494:C494"/>
    <mergeCell ref="F494:F494"/>
    <mergeCell ref="G494:G494"/>
    <mergeCell ref="H494:H494"/>
    <mergeCell ref="M494:M494"/>
    <mergeCell ref="N494:N494"/>
    <mergeCell ref="O494:O494"/>
    <mergeCell ref="P494:P494"/>
    <mergeCell ref="Q494:Q494"/>
    <mergeCell ref="R494:R494"/>
    <mergeCell ref="S494:S494"/>
    <mergeCell ref="X494:X494"/>
    <mergeCell ref="Y494:Y494"/>
    <mergeCell ref="Z494:Z494"/>
    <mergeCell ref="AA494:AA494"/>
    <mergeCell ref="AB494:AB494"/>
    <mergeCell ref="AC494:AC494"/>
    <mergeCell ref="AD494:AD494"/>
    <mergeCell ref="AE494:AE494"/>
    <mergeCell ref="AF494:AF494"/>
    <mergeCell ref="A495:A495"/>
    <mergeCell ref="B495:B495"/>
    <mergeCell ref="C495:C495"/>
    <mergeCell ref="F495:F495"/>
    <mergeCell ref="G495:G495"/>
    <mergeCell ref="H495:H495"/>
    <mergeCell ref="M495:M495"/>
    <mergeCell ref="N495:N495"/>
    <mergeCell ref="O495:O495"/>
    <mergeCell ref="P495:P495"/>
    <mergeCell ref="Q495:Q495"/>
    <mergeCell ref="R495:R495"/>
    <mergeCell ref="S495:S495"/>
    <mergeCell ref="X495:X495"/>
    <mergeCell ref="Y495:Y495"/>
    <mergeCell ref="Z495:Z495"/>
    <mergeCell ref="AA495:AA495"/>
    <mergeCell ref="AB495:AB495"/>
    <mergeCell ref="AC495:AC495"/>
    <mergeCell ref="AD495:AD495"/>
    <mergeCell ref="AE495:AE495"/>
    <mergeCell ref="AF495:AF495"/>
    <mergeCell ref="A496:A496"/>
    <mergeCell ref="B496:B496"/>
    <mergeCell ref="C496:C496"/>
    <mergeCell ref="F496:F496"/>
    <mergeCell ref="G496:G496"/>
    <mergeCell ref="H496:H496"/>
    <mergeCell ref="M496:M496"/>
    <mergeCell ref="N496:N496"/>
    <mergeCell ref="O496:O496"/>
    <mergeCell ref="P496:P496"/>
    <mergeCell ref="Q496:Q496"/>
    <mergeCell ref="R496:R496"/>
    <mergeCell ref="S496:S496"/>
    <mergeCell ref="X496:X496"/>
    <mergeCell ref="Y496:Y496"/>
    <mergeCell ref="Z496:Z496"/>
    <mergeCell ref="AA496:AA496"/>
    <mergeCell ref="AB496:AB496"/>
    <mergeCell ref="AC496:AC496"/>
    <mergeCell ref="AD496:AD496"/>
    <mergeCell ref="AE496:AE496"/>
    <mergeCell ref="AF496:AF496"/>
    <mergeCell ref="A497:A497"/>
    <mergeCell ref="B497:B497"/>
    <mergeCell ref="C497:C497"/>
    <mergeCell ref="F497:F497"/>
    <mergeCell ref="G497:G497"/>
    <mergeCell ref="H497:H497"/>
    <mergeCell ref="M497:M497"/>
    <mergeCell ref="N497:N497"/>
    <mergeCell ref="O497:O497"/>
    <mergeCell ref="P497:P497"/>
    <mergeCell ref="Q497:Q497"/>
    <mergeCell ref="R497:R497"/>
    <mergeCell ref="S497:S497"/>
    <mergeCell ref="X497:X497"/>
    <mergeCell ref="Y497:Y497"/>
    <mergeCell ref="Z497:Z497"/>
    <mergeCell ref="AA497:AA497"/>
    <mergeCell ref="AB497:AB497"/>
    <mergeCell ref="AC497:AC497"/>
    <mergeCell ref="AD497:AD497"/>
    <mergeCell ref="AE497:AE497"/>
    <mergeCell ref="AF497:AF497"/>
    <mergeCell ref="A498:A498"/>
    <mergeCell ref="B498:B498"/>
    <mergeCell ref="C498:C498"/>
    <mergeCell ref="F498:F498"/>
    <mergeCell ref="G498:G498"/>
    <mergeCell ref="H498:H498"/>
    <mergeCell ref="M498:M498"/>
    <mergeCell ref="N498:N498"/>
    <mergeCell ref="O498:O498"/>
    <mergeCell ref="P498:P498"/>
    <mergeCell ref="Q498:Q498"/>
    <mergeCell ref="R498:R498"/>
    <mergeCell ref="S498:S498"/>
    <mergeCell ref="X498:X498"/>
    <mergeCell ref="Y498:Y498"/>
    <mergeCell ref="Z498:Z498"/>
    <mergeCell ref="AA498:AA498"/>
    <mergeCell ref="AB498:AB498"/>
    <mergeCell ref="AC498:AC498"/>
    <mergeCell ref="AD498:AD498"/>
    <mergeCell ref="AE498:AE498"/>
    <mergeCell ref="AF498:AF498"/>
    <mergeCell ref="A499:A499"/>
    <mergeCell ref="B499:B499"/>
    <mergeCell ref="C499:C499"/>
    <mergeCell ref="F499:F499"/>
    <mergeCell ref="G499:G499"/>
    <mergeCell ref="H499:H499"/>
    <mergeCell ref="M499:M499"/>
    <mergeCell ref="N499:N499"/>
    <mergeCell ref="O499:O499"/>
    <mergeCell ref="P499:P499"/>
    <mergeCell ref="Q499:Q499"/>
    <mergeCell ref="R499:R499"/>
    <mergeCell ref="S499:S499"/>
    <mergeCell ref="X499:X499"/>
    <mergeCell ref="Y499:Y499"/>
    <mergeCell ref="Z499:Z499"/>
    <mergeCell ref="AA499:AA499"/>
    <mergeCell ref="AB499:AB499"/>
    <mergeCell ref="AC499:AC499"/>
    <mergeCell ref="AD499:AD499"/>
    <mergeCell ref="AE499:AE499"/>
    <mergeCell ref="AF499:AF499"/>
    <mergeCell ref="A500:A500"/>
    <mergeCell ref="B500:B500"/>
    <mergeCell ref="C500:C500"/>
    <mergeCell ref="F500:F500"/>
    <mergeCell ref="G500:G500"/>
    <mergeCell ref="H500:H500"/>
    <mergeCell ref="M500:M500"/>
    <mergeCell ref="N500:N500"/>
    <mergeCell ref="O500:O500"/>
    <mergeCell ref="P500:P500"/>
    <mergeCell ref="Q500:Q500"/>
    <mergeCell ref="R500:R500"/>
    <mergeCell ref="S500:S500"/>
    <mergeCell ref="X500:X500"/>
    <mergeCell ref="Y500:Y500"/>
    <mergeCell ref="Z500:Z500"/>
    <mergeCell ref="AA500:AA500"/>
    <mergeCell ref="AB500:AB500"/>
    <mergeCell ref="AC500:AC500"/>
    <mergeCell ref="AD500:AD500"/>
    <mergeCell ref="AE500:AE500"/>
    <mergeCell ref="AF500:AF500"/>
    <mergeCell ref="A501:A501"/>
    <mergeCell ref="B501:B501"/>
    <mergeCell ref="C501:C501"/>
    <mergeCell ref="F501:F501"/>
    <mergeCell ref="G501:G501"/>
    <mergeCell ref="H501:H501"/>
    <mergeCell ref="M501:M501"/>
    <mergeCell ref="N501:N501"/>
    <mergeCell ref="O501:O501"/>
    <mergeCell ref="P501:P501"/>
    <mergeCell ref="Q501:Q501"/>
    <mergeCell ref="R501:R501"/>
    <mergeCell ref="S501:S501"/>
    <mergeCell ref="X501:X501"/>
    <mergeCell ref="Y501:Y501"/>
    <mergeCell ref="Z501:Z501"/>
    <mergeCell ref="AA501:AA501"/>
    <mergeCell ref="AB501:AB501"/>
    <mergeCell ref="AC501:AC501"/>
    <mergeCell ref="AD501:AD501"/>
    <mergeCell ref="AE501:AE501"/>
    <mergeCell ref="AF501:AF501"/>
    <mergeCell ref="A502:A502"/>
    <mergeCell ref="B502:B502"/>
    <mergeCell ref="C502:C502"/>
    <mergeCell ref="F502:F502"/>
    <mergeCell ref="G502:G502"/>
    <mergeCell ref="H502:H502"/>
    <mergeCell ref="M502:M502"/>
    <mergeCell ref="N502:N502"/>
    <mergeCell ref="O502:O502"/>
    <mergeCell ref="P502:P502"/>
    <mergeCell ref="Q502:Q502"/>
    <mergeCell ref="R502:R502"/>
    <mergeCell ref="S502:S502"/>
    <mergeCell ref="X502:X502"/>
    <mergeCell ref="Y502:Y502"/>
    <mergeCell ref="Z502:Z502"/>
    <mergeCell ref="AA502:AA502"/>
    <mergeCell ref="AB502:AB502"/>
    <mergeCell ref="AC502:AC502"/>
    <mergeCell ref="AD502:AD502"/>
    <mergeCell ref="AE502:AE502"/>
    <mergeCell ref="AF502:AF502"/>
    <mergeCell ref="A503:A504"/>
    <mergeCell ref="B503:B504"/>
    <mergeCell ref="C503:C504"/>
    <mergeCell ref="F503:F504"/>
    <mergeCell ref="G503:G504"/>
    <mergeCell ref="H503:H504"/>
    <mergeCell ref="M503:M504"/>
    <mergeCell ref="N503:N504"/>
    <mergeCell ref="O503:O504"/>
    <mergeCell ref="P503:P504"/>
    <mergeCell ref="Q503:Q504"/>
    <mergeCell ref="R503:R504"/>
    <mergeCell ref="S503:S504"/>
    <mergeCell ref="X503:X504"/>
    <mergeCell ref="Y503:Y504"/>
    <mergeCell ref="Z503:Z504"/>
    <mergeCell ref="AA503:AA504"/>
    <mergeCell ref="AB503:AB504"/>
    <mergeCell ref="AC503:AC504"/>
    <mergeCell ref="AD503:AD504"/>
    <mergeCell ref="AE503:AE504"/>
    <mergeCell ref="AF503:AF504"/>
    <mergeCell ref="A505:A505"/>
    <mergeCell ref="B505:B505"/>
    <mergeCell ref="C505:C505"/>
    <mergeCell ref="F505:F505"/>
    <mergeCell ref="G505:G505"/>
    <mergeCell ref="H505:H505"/>
    <mergeCell ref="M505:M505"/>
    <mergeCell ref="N505:N505"/>
    <mergeCell ref="O505:O505"/>
    <mergeCell ref="P505:P505"/>
    <mergeCell ref="Q505:Q505"/>
    <mergeCell ref="R505:R505"/>
    <mergeCell ref="S505:S505"/>
    <mergeCell ref="X505:X505"/>
    <mergeCell ref="Y505:Y505"/>
    <mergeCell ref="Z505:Z505"/>
    <mergeCell ref="AA505:AA505"/>
    <mergeCell ref="AB505:AB505"/>
    <mergeCell ref="AC505:AC505"/>
    <mergeCell ref="AD505:AD505"/>
    <mergeCell ref="AE505:AE505"/>
    <mergeCell ref="AF505:AF505"/>
    <mergeCell ref="A506:A506"/>
    <mergeCell ref="B506:B506"/>
    <mergeCell ref="C506:C506"/>
    <mergeCell ref="F506:F506"/>
    <mergeCell ref="G506:G506"/>
    <mergeCell ref="H506:H506"/>
    <mergeCell ref="M506:M506"/>
    <mergeCell ref="N506:N506"/>
    <mergeCell ref="O506:O506"/>
    <mergeCell ref="P506:P506"/>
    <mergeCell ref="Q506:Q506"/>
    <mergeCell ref="R506:R506"/>
    <mergeCell ref="S506:S506"/>
    <mergeCell ref="X506:X506"/>
    <mergeCell ref="Y506:Y506"/>
    <mergeCell ref="Z506:Z506"/>
    <mergeCell ref="AA506:AA506"/>
    <mergeCell ref="AB506:AB506"/>
    <mergeCell ref="AC506:AC506"/>
    <mergeCell ref="AD506:AD506"/>
    <mergeCell ref="AE506:AE506"/>
    <mergeCell ref="AF506:AF506"/>
    <mergeCell ref="A507:A507"/>
    <mergeCell ref="B507:B507"/>
    <mergeCell ref="C507:C507"/>
    <mergeCell ref="F507:F507"/>
    <mergeCell ref="G507:G507"/>
    <mergeCell ref="H507:H507"/>
    <mergeCell ref="M507:M507"/>
    <mergeCell ref="N507:N507"/>
    <mergeCell ref="O507:O507"/>
    <mergeCell ref="P507:P507"/>
    <mergeCell ref="Q507:Q507"/>
    <mergeCell ref="R507:R507"/>
    <mergeCell ref="S507:S507"/>
    <mergeCell ref="X507:X507"/>
    <mergeCell ref="Y507:Y507"/>
    <mergeCell ref="Z507:Z507"/>
    <mergeCell ref="AA507:AA507"/>
    <mergeCell ref="AB507:AB507"/>
    <mergeCell ref="AC507:AC507"/>
    <mergeCell ref="AD507:AD507"/>
    <mergeCell ref="AE507:AE507"/>
    <mergeCell ref="AF507:AF507"/>
    <mergeCell ref="A508:A508"/>
    <mergeCell ref="B508:B508"/>
    <mergeCell ref="C508:C508"/>
    <mergeCell ref="F508:F508"/>
    <mergeCell ref="G508:G508"/>
    <mergeCell ref="H508:H508"/>
    <mergeCell ref="M508:M508"/>
    <mergeCell ref="N508:N508"/>
    <mergeCell ref="O508:O508"/>
    <mergeCell ref="P508:P508"/>
    <mergeCell ref="Q508:Q508"/>
    <mergeCell ref="R508:R508"/>
    <mergeCell ref="S508:S508"/>
    <mergeCell ref="X508:X508"/>
    <mergeCell ref="Y508:Y508"/>
    <mergeCell ref="Z508:Z508"/>
    <mergeCell ref="AA508:AA508"/>
    <mergeCell ref="AB508:AB508"/>
    <mergeCell ref="AC508:AC508"/>
    <mergeCell ref="AD508:AD508"/>
    <mergeCell ref="AE508:AE508"/>
    <mergeCell ref="AF508:AF508"/>
    <mergeCell ref="A509:A509"/>
    <mergeCell ref="B509:B509"/>
    <mergeCell ref="C509:C509"/>
    <mergeCell ref="F509:F509"/>
    <mergeCell ref="G509:G509"/>
    <mergeCell ref="H509:H509"/>
    <mergeCell ref="M509:M509"/>
    <mergeCell ref="N509:N509"/>
    <mergeCell ref="O509:O509"/>
    <mergeCell ref="P509:P509"/>
    <mergeCell ref="Q509:Q509"/>
    <mergeCell ref="R509:R509"/>
    <mergeCell ref="S509:S509"/>
    <mergeCell ref="X509:X509"/>
    <mergeCell ref="Y509:Y509"/>
    <mergeCell ref="Z509:Z509"/>
    <mergeCell ref="AA509:AA509"/>
    <mergeCell ref="AB509:AB509"/>
    <mergeCell ref="AC509:AC509"/>
    <mergeCell ref="AD509:AD509"/>
    <mergeCell ref="AE509:AE509"/>
    <mergeCell ref="AF509:AF509"/>
    <mergeCell ref="A510:A510"/>
    <mergeCell ref="B510:B510"/>
    <mergeCell ref="C510:C510"/>
    <mergeCell ref="F510:F510"/>
    <mergeCell ref="G510:G510"/>
    <mergeCell ref="H510:H510"/>
    <mergeCell ref="M510:M510"/>
    <mergeCell ref="N510:N510"/>
    <mergeCell ref="O510:O510"/>
    <mergeCell ref="P510:P510"/>
    <mergeCell ref="Q510:Q510"/>
    <mergeCell ref="R510:R510"/>
    <mergeCell ref="S510:S510"/>
    <mergeCell ref="X510:X510"/>
    <mergeCell ref="Y510:Y510"/>
    <mergeCell ref="Z510:Z510"/>
    <mergeCell ref="AA510:AA510"/>
    <mergeCell ref="AB510:AB510"/>
    <mergeCell ref="AC510:AC510"/>
    <mergeCell ref="AD510:AD510"/>
    <mergeCell ref="AE510:AE510"/>
    <mergeCell ref="AF510:AF510"/>
    <mergeCell ref="A511:A511"/>
    <mergeCell ref="B511:B511"/>
    <mergeCell ref="C511:C511"/>
    <mergeCell ref="F511:F511"/>
    <mergeCell ref="G511:G511"/>
    <mergeCell ref="H511:H511"/>
    <mergeCell ref="M511:M511"/>
    <mergeCell ref="N511:N511"/>
    <mergeCell ref="O511:O511"/>
    <mergeCell ref="P511:P511"/>
    <mergeCell ref="Q511:Q511"/>
    <mergeCell ref="R511:R511"/>
    <mergeCell ref="S511:S511"/>
    <mergeCell ref="X511:X511"/>
    <mergeCell ref="Y511:Y511"/>
    <mergeCell ref="Z511:Z511"/>
    <mergeCell ref="AA511:AA511"/>
    <mergeCell ref="AB511:AB511"/>
    <mergeCell ref="AC511:AC511"/>
    <mergeCell ref="AD511:AD511"/>
    <mergeCell ref="AE511:AE511"/>
    <mergeCell ref="AF511:AF511"/>
    <mergeCell ref="A512:A512"/>
    <mergeCell ref="B512:B512"/>
    <mergeCell ref="C512:C512"/>
    <mergeCell ref="F512:F512"/>
    <mergeCell ref="G512:G512"/>
    <mergeCell ref="H512:H512"/>
    <mergeCell ref="M512:M512"/>
    <mergeCell ref="N512:N512"/>
    <mergeCell ref="O512:O512"/>
    <mergeCell ref="P512:P512"/>
    <mergeCell ref="Q512:Q512"/>
    <mergeCell ref="R512:R512"/>
    <mergeCell ref="S512:S512"/>
    <mergeCell ref="X512:X512"/>
    <mergeCell ref="Y512:Y512"/>
    <mergeCell ref="Z512:Z512"/>
    <mergeCell ref="AA512:AA512"/>
    <mergeCell ref="AB512:AB512"/>
    <mergeCell ref="AC512:AC512"/>
    <mergeCell ref="AD512:AD512"/>
    <mergeCell ref="AE512:AE512"/>
    <mergeCell ref="AF512:AF512"/>
    <mergeCell ref="A513:A513"/>
    <mergeCell ref="B513:B513"/>
    <mergeCell ref="C513:C513"/>
    <mergeCell ref="F513:F513"/>
    <mergeCell ref="G513:G513"/>
    <mergeCell ref="H513:H513"/>
    <mergeCell ref="M513:M513"/>
    <mergeCell ref="N513:N513"/>
    <mergeCell ref="O513:O513"/>
    <mergeCell ref="P513:P513"/>
    <mergeCell ref="Q513:Q513"/>
    <mergeCell ref="R513:R513"/>
    <mergeCell ref="S513:S513"/>
    <mergeCell ref="X513:X513"/>
    <mergeCell ref="Y513:Y513"/>
    <mergeCell ref="Z513:Z513"/>
    <mergeCell ref="AA513:AA513"/>
    <mergeCell ref="AB513:AB513"/>
    <mergeCell ref="AC513:AC513"/>
    <mergeCell ref="AD513:AD513"/>
    <mergeCell ref="AE513:AE513"/>
    <mergeCell ref="AF513:AF513"/>
    <mergeCell ref="A514:A514"/>
    <mergeCell ref="B514:B514"/>
    <mergeCell ref="C514:C514"/>
    <mergeCell ref="F514:F514"/>
    <mergeCell ref="G514:G514"/>
    <mergeCell ref="H514:H514"/>
    <mergeCell ref="M514:M514"/>
    <mergeCell ref="N514:N514"/>
    <mergeCell ref="O514:O514"/>
    <mergeCell ref="P514:P514"/>
    <mergeCell ref="Q514:Q514"/>
    <mergeCell ref="R514:R514"/>
    <mergeCell ref="S514:S514"/>
    <mergeCell ref="X514:X514"/>
    <mergeCell ref="Y514:Y514"/>
    <mergeCell ref="Z514:Z514"/>
    <mergeCell ref="AA514:AA514"/>
    <mergeCell ref="AB514:AB514"/>
    <mergeCell ref="AC514:AC514"/>
    <mergeCell ref="AD514:AD514"/>
    <mergeCell ref="AE514:AE514"/>
    <mergeCell ref="AF514:AF514"/>
    <mergeCell ref="A515:A515"/>
    <mergeCell ref="B515:B515"/>
    <mergeCell ref="C515:C515"/>
    <mergeCell ref="F515:F515"/>
    <mergeCell ref="G515:G515"/>
    <mergeCell ref="H515:H515"/>
    <mergeCell ref="M515:M515"/>
    <mergeCell ref="N515:N515"/>
    <mergeCell ref="O515:O515"/>
    <mergeCell ref="P515:P515"/>
    <mergeCell ref="Q515:Q515"/>
    <mergeCell ref="R515:R515"/>
    <mergeCell ref="S515:S515"/>
    <mergeCell ref="X515:X515"/>
    <mergeCell ref="Y515:Y515"/>
    <mergeCell ref="Z515:Z515"/>
    <mergeCell ref="AA515:AA515"/>
    <mergeCell ref="AB515:AB515"/>
    <mergeCell ref="AC515:AC515"/>
    <mergeCell ref="AD515:AD515"/>
    <mergeCell ref="AE515:AE515"/>
    <mergeCell ref="AF515:AF515"/>
    <mergeCell ref="A516:A516"/>
    <mergeCell ref="B516:B516"/>
    <mergeCell ref="C516:C516"/>
    <mergeCell ref="F516:F516"/>
    <mergeCell ref="G516:G516"/>
    <mergeCell ref="H516:H516"/>
    <mergeCell ref="M516:M516"/>
    <mergeCell ref="N516:N516"/>
    <mergeCell ref="O516:O516"/>
    <mergeCell ref="P516:P516"/>
    <mergeCell ref="Q516:Q516"/>
    <mergeCell ref="R516:R516"/>
    <mergeCell ref="S516:S516"/>
    <mergeCell ref="X516:X516"/>
    <mergeCell ref="Y516:Y516"/>
    <mergeCell ref="Z516:Z516"/>
    <mergeCell ref="AA516:AA516"/>
    <mergeCell ref="AB516:AB516"/>
    <mergeCell ref="AC516:AC516"/>
    <mergeCell ref="AD516:AD516"/>
    <mergeCell ref="AE516:AE516"/>
    <mergeCell ref="AF516:AF516"/>
    <mergeCell ref="A517:A517"/>
    <mergeCell ref="B517:B517"/>
    <mergeCell ref="C517:C517"/>
    <mergeCell ref="F517:F517"/>
    <mergeCell ref="G517:G517"/>
    <mergeCell ref="H517:H517"/>
    <mergeCell ref="M517:M517"/>
    <mergeCell ref="N517:N517"/>
    <mergeCell ref="O517:O517"/>
    <mergeCell ref="P517:P517"/>
    <mergeCell ref="Q517:Q517"/>
    <mergeCell ref="R517:R517"/>
    <mergeCell ref="S517:S517"/>
    <mergeCell ref="X517:X517"/>
    <mergeCell ref="Y517:Y517"/>
    <mergeCell ref="Z517:Z517"/>
    <mergeCell ref="AA517:AA517"/>
    <mergeCell ref="AB517:AB517"/>
    <mergeCell ref="AC517:AC517"/>
    <mergeCell ref="AD517:AD517"/>
    <mergeCell ref="AE517:AE517"/>
    <mergeCell ref="AF517:AF517"/>
    <mergeCell ref="A518:A518"/>
    <mergeCell ref="B518:B518"/>
    <mergeCell ref="C518:C518"/>
    <mergeCell ref="F518:F518"/>
    <mergeCell ref="G518:G518"/>
    <mergeCell ref="H518:H518"/>
    <mergeCell ref="M518:M518"/>
    <mergeCell ref="N518:N518"/>
    <mergeCell ref="O518:O518"/>
    <mergeCell ref="P518:P518"/>
    <mergeCell ref="Q518:Q518"/>
    <mergeCell ref="R518:R518"/>
    <mergeCell ref="S518:S518"/>
    <mergeCell ref="X518:X518"/>
    <mergeCell ref="Y518:Y518"/>
    <mergeCell ref="Z518:Z518"/>
    <mergeCell ref="AA518:AA518"/>
    <mergeCell ref="AB518:AB518"/>
    <mergeCell ref="AC518:AC518"/>
    <mergeCell ref="AD518:AD518"/>
    <mergeCell ref="AE518:AE518"/>
    <mergeCell ref="AF518:AF518"/>
    <mergeCell ref="A519:A519"/>
    <mergeCell ref="B519:B519"/>
    <mergeCell ref="C519:C519"/>
    <mergeCell ref="F519:F519"/>
    <mergeCell ref="G519:G519"/>
    <mergeCell ref="H519:H519"/>
    <mergeCell ref="M519:M519"/>
    <mergeCell ref="N519:N519"/>
    <mergeCell ref="O519:O519"/>
    <mergeCell ref="P519:P519"/>
    <mergeCell ref="Q519:Q519"/>
    <mergeCell ref="R519:R519"/>
    <mergeCell ref="S519:S519"/>
    <mergeCell ref="X519:X519"/>
    <mergeCell ref="Y519:Y519"/>
    <mergeCell ref="Z519:Z519"/>
    <mergeCell ref="AA519:AA519"/>
    <mergeCell ref="AB519:AB519"/>
    <mergeCell ref="AC519:AC519"/>
    <mergeCell ref="AD519:AD519"/>
    <mergeCell ref="AE519:AE519"/>
    <mergeCell ref="AF519:AF519"/>
    <mergeCell ref="A520:A520"/>
    <mergeCell ref="B520:B520"/>
    <mergeCell ref="C520:C520"/>
    <mergeCell ref="F520:F520"/>
    <mergeCell ref="G520:G520"/>
    <mergeCell ref="H520:H520"/>
    <mergeCell ref="M520:M520"/>
    <mergeCell ref="N520:N520"/>
    <mergeCell ref="O520:O520"/>
    <mergeCell ref="P520:P520"/>
    <mergeCell ref="Q520:Q520"/>
    <mergeCell ref="R520:R520"/>
    <mergeCell ref="S520:S520"/>
    <mergeCell ref="X520:X520"/>
    <mergeCell ref="Y520:Y520"/>
    <mergeCell ref="Z520:Z520"/>
    <mergeCell ref="AA520:AA520"/>
    <mergeCell ref="AB520:AB520"/>
    <mergeCell ref="AC520:AC520"/>
    <mergeCell ref="AD520:AD520"/>
    <mergeCell ref="AE520:AE520"/>
    <mergeCell ref="AF520:AF520"/>
    <mergeCell ref="A521:A521"/>
    <mergeCell ref="B521:B521"/>
    <mergeCell ref="C521:C521"/>
    <mergeCell ref="F521:F521"/>
    <mergeCell ref="G521:G521"/>
    <mergeCell ref="H521:H521"/>
    <mergeCell ref="M521:M521"/>
    <mergeCell ref="N521:N521"/>
    <mergeCell ref="O521:O521"/>
    <mergeCell ref="P521:P521"/>
    <mergeCell ref="Q521:Q521"/>
    <mergeCell ref="R521:R521"/>
    <mergeCell ref="S521:S521"/>
    <mergeCell ref="X521:X521"/>
    <mergeCell ref="Y521:Y521"/>
    <mergeCell ref="Z521:Z521"/>
    <mergeCell ref="AA521:AA521"/>
    <mergeCell ref="AB521:AB521"/>
    <mergeCell ref="AC521:AC521"/>
    <mergeCell ref="AD521:AD521"/>
    <mergeCell ref="AE521:AE521"/>
    <mergeCell ref="AF521:AF521"/>
    <mergeCell ref="A522:A522"/>
    <mergeCell ref="B522:B522"/>
    <mergeCell ref="C522:C522"/>
    <mergeCell ref="F522:F522"/>
    <mergeCell ref="G522:G522"/>
    <mergeCell ref="H522:H522"/>
    <mergeCell ref="M522:M522"/>
    <mergeCell ref="N522:N522"/>
    <mergeCell ref="O522:O522"/>
    <mergeCell ref="P522:P522"/>
    <mergeCell ref="Q522:Q522"/>
    <mergeCell ref="R522:R522"/>
    <mergeCell ref="S522:S522"/>
    <mergeCell ref="X522:X522"/>
    <mergeCell ref="Y522:Y522"/>
    <mergeCell ref="Z522:Z522"/>
    <mergeCell ref="AA522:AA522"/>
    <mergeCell ref="AB522:AB522"/>
    <mergeCell ref="AC522:AC522"/>
    <mergeCell ref="AD522:AD522"/>
    <mergeCell ref="AE522:AE522"/>
    <mergeCell ref="AF522:AF522"/>
    <mergeCell ref="A523:A523"/>
    <mergeCell ref="B523:B523"/>
    <mergeCell ref="C523:C523"/>
    <mergeCell ref="F523:F523"/>
    <mergeCell ref="G523:G523"/>
    <mergeCell ref="H523:H523"/>
    <mergeCell ref="M523:M523"/>
    <mergeCell ref="N523:N523"/>
    <mergeCell ref="O523:O523"/>
    <mergeCell ref="P523:P523"/>
    <mergeCell ref="Q523:Q523"/>
    <mergeCell ref="R523:R523"/>
    <mergeCell ref="S523:S523"/>
    <mergeCell ref="X523:X523"/>
    <mergeCell ref="Y523:Y523"/>
    <mergeCell ref="Z523:Z523"/>
    <mergeCell ref="AA523:AA523"/>
    <mergeCell ref="AB523:AB523"/>
    <mergeCell ref="AC523:AC523"/>
    <mergeCell ref="AD523:AD523"/>
    <mergeCell ref="AE523:AE523"/>
    <mergeCell ref="AF523:AF523"/>
    <mergeCell ref="A524:A524"/>
    <mergeCell ref="B524:B524"/>
    <mergeCell ref="C524:C524"/>
    <mergeCell ref="F524:F524"/>
    <mergeCell ref="G524:G524"/>
    <mergeCell ref="H524:H524"/>
    <mergeCell ref="M524:M524"/>
    <mergeCell ref="N524:N524"/>
    <mergeCell ref="O524:O524"/>
    <mergeCell ref="P524:P524"/>
    <mergeCell ref="Q524:Q524"/>
    <mergeCell ref="R524:R524"/>
    <mergeCell ref="S524:S524"/>
    <mergeCell ref="X524:X524"/>
    <mergeCell ref="Y524:Y524"/>
    <mergeCell ref="Z524:Z524"/>
    <mergeCell ref="AA524:AA524"/>
    <mergeCell ref="AB524:AB524"/>
    <mergeCell ref="AC524:AC524"/>
    <mergeCell ref="AD524:AD524"/>
    <mergeCell ref="AE524:AE524"/>
    <mergeCell ref="AF524:AF524"/>
    <mergeCell ref="A525:A525"/>
    <mergeCell ref="B525:B525"/>
    <mergeCell ref="C525:C525"/>
    <mergeCell ref="F525:F525"/>
    <mergeCell ref="G525:G525"/>
    <mergeCell ref="H525:H525"/>
    <mergeCell ref="M525:M525"/>
    <mergeCell ref="N525:N525"/>
    <mergeCell ref="O525:O525"/>
    <mergeCell ref="P525:P525"/>
    <mergeCell ref="Q525:Q525"/>
    <mergeCell ref="R525:R525"/>
    <mergeCell ref="S525:S525"/>
    <mergeCell ref="X525:X525"/>
    <mergeCell ref="Y525:Y525"/>
    <mergeCell ref="Z525:Z525"/>
    <mergeCell ref="AA525:AA525"/>
    <mergeCell ref="AB525:AB525"/>
    <mergeCell ref="AC525:AC525"/>
    <mergeCell ref="AD525:AD525"/>
    <mergeCell ref="AE525:AE525"/>
    <mergeCell ref="AF525:AF525"/>
    <mergeCell ref="A526:A526"/>
    <mergeCell ref="B526:B526"/>
    <mergeCell ref="C526:C526"/>
    <mergeCell ref="F526:F526"/>
    <mergeCell ref="G526:G526"/>
    <mergeCell ref="H526:H526"/>
    <mergeCell ref="M526:M526"/>
    <mergeCell ref="N526:N526"/>
    <mergeCell ref="O526:O526"/>
    <mergeCell ref="P526:P526"/>
    <mergeCell ref="Q526:Q526"/>
    <mergeCell ref="R526:R526"/>
    <mergeCell ref="S526:S526"/>
    <mergeCell ref="X526:X526"/>
    <mergeCell ref="Y526:Y526"/>
    <mergeCell ref="Z526:Z526"/>
    <mergeCell ref="AA526:AA526"/>
    <mergeCell ref="AB526:AB526"/>
    <mergeCell ref="AC526:AC526"/>
    <mergeCell ref="AD526:AD526"/>
    <mergeCell ref="AE526:AE526"/>
    <mergeCell ref="AF526:AF526"/>
    <mergeCell ref="A527:A527"/>
    <mergeCell ref="B527:B527"/>
    <mergeCell ref="C527:C527"/>
    <mergeCell ref="F527:F527"/>
    <mergeCell ref="G527:G527"/>
    <mergeCell ref="H527:H527"/>
    <mergeCell ref="M527:M527"/>
    <mergeCell ref="N527:N527"/>
    <mergeCell ref="O527:O527"/>
    <mergeCell ref="P527:P527"/>
    <mergeCell ref="Q527:Q527"/>
    <mergeCell ref="R527:R527"/>
    <mergeCell ref="S527:S527"/>
    <mergeCell ref="X527:X527"/>
    <mergeCell ref="Y527:Y527"/>
    <mergeCell ref="Z527:Z527"/>
    <mergeCell ref="AA527:AA527"/>
    <mergeCell ref="AB527:AB527"/>
    <mergeCell ref="AC527:AC527"/>
    <mergeCell ref="AD527:AD527"/>
    <mergeCell ref="AE527:AE527"/>
    <mergeCell ref="AF527:AF527"/>
    <mergeCell ref="A528:A528"/>
    <mergeCell ref="B528:B528"/>
    <mergeCell ref="C528:C528"/>
    <mergeCell ref="F528:F528"/>
    <mergeCell ref="G528:G528"/>
    <mergeCell ref="H528:H528"/>
    <mergeCell ref="M528:M528"/>
    <mergeCell ref="N528:N528"/>
    <mergeCell ref="O528:O528"/>
    <mergeCell ref="P528:P528"/>
    <mergeCell ref="Q528:Q528"/>
    <mergeCell ref="R528:R528"/>
    <mergeCell ref="S528:S528"/>
    <mergeCell ref="X528:X528"/>
    <mergeCell ref="Y528:Y528"/>
    <mergeCell ref="Z528:Z528"/>
    <mergeCell ref="AA528:AA528"/>
    <mergeCell ref="AB528:AB528"/>
    <mergeCell ref="AC528:AC528"/>
    <mergeCell ref="AD528:AD528"/>
    <mergeCell ref="AE528:AE528"/>
    <mergeCell ref="AF528:AF528"/>
    <mergeCell ref="A529:A529"/>
    <mergeCell ref="B529:B529"/>
    <mergeCell ref="C529:C529"/>
    <mergeCell ref="F529:F529"/>
    <mergeCell ref="G529:G529"/>
    <mergeCell ref="H529:H529"/>
    <mergeCell ref="M529:M529"/>
    <mergeCell ref="N529:N529"/>
    <mergeCell ref="O529:O529"/>
    <mergeCell ref="P529:P529"/>
    <mergeCell ref="Q529:Q529"/>
    <mergeCell ref="R529:R529"/>
    <mergeCell ref="S529:S529"/>
    <mergeCell ref="X529:X529"/>
    <mergeCell ref="Y529:Y529"/>
    <mergeCell ref="Z529:Z529"/>
    <mergeCell ref="AA529:AA529"/>
    <mergeCell ref="AB529:AB529"/>
    <mergeCell ref="AC529:AC529"/>
    <mergeCell ref="AD529:AD529"/>
    <mergeCell ref="AE529:AE529"/>
    <mergeCell ref="AF529:AF529"/>
    <mergeCell ref="A530:A530"/>
    <mergeCell ref="B530:B530"/>
    <mergeCell ref="C530:C530"/>
    <mergeCell ref="F530:F530"/>
    <mergeCell ref="G530:G530"/>
    <mergeCell ref="H530:H530"/>
    <mergeCell ref="M530:M530"/>
    <mergeCell ref="N530:N530"/>
    <mergeCell ref="O530:O530"/>
    <mergeCell ref="P530:P530"/>
    <mergeCell ref="Q530:Q530"/>
    <mergeCell ref="R530:R530"/>
    <mergeCell ref="S530:S530"/>
    <mergeCell ref="X530:X530"/>
    <mergeCell ref="Y530:Y530"/>
    <mergeCell ref="Z530:Z530"/>
    <mergeCell ref="AA530:AA530"/>
    <mergeCell ref="AB530:AB530"/>
    <mergeCell ref="AC530:AC530"/>
    <mergeCell ref="AD530:AD530"/>
    <mergeCell ref="AE530:AE530"/>
    <mergeCell ref="AF530:AF530"/>
    <mergeCell ref="A531:A531"/>
    <mergeCell ref="B531:B531"/>
    <mergeCell ref="C531:C531"/>
    <mergeCell ref="F531:F531"/>
    <mergeCell ref="G531:G531"/>
    <mergeCell ref="H531:H531"/>
    <mergeCell ref="M531:M531"/>
    <mergeCell ref="N531:N531"/>
    <mergeCell ref="O531:O531"/>
    <mergeCell ref="P531:P531"/>
    <mergeCell ref="Q531:Q531"/>
    <mergeCell ref="R531:R531"/>
    <mergeCell ref="S531:S531"/>
    <mergeCell ref="X531:X531"/>
    <mergeCell ref="Y531:Y531"/>
    <mergeCell ref="Z531:Z531"/>
    <mergeCell ref="AA531:AA531"/>
    <mergeCell ref="AB531:AB531"/>
    <mergeCell ref="AC531:AC531"/>
    <mergeCell ref="AD531:AD531"/>
    <mergeCell ref="AE531:AE531"/>
    <mergeCell ref="AF531:AF531"/>
    <mergeCell ref="A532:A532"/>
    <mergeCell ref="B532:B532"/>
    <mergeCell ref="C532:C532"/>
    <mergeCell ref="F532:F532"/>
    <mergeCell ref="G532:G532"/>
    <mergeCell ref="H532:H532"/>
    <mergeCell ref="M532:M532"/>
    <mergeCell ref="N532:N532"/>
    <mergeCell ref="O532:O532"/>
    <mergeCell ref="P532:P532"/>
    <mergeCell ref="Q532:Q532"/>
    <mergeCell ref="R532:R532"/>
    <mergeCell ref="S532:S532"/>
    <mergeCell ref="X532:X532"/>
    <mergeCell ref="Y532:Y532"/>
    <mergeCell ref="Z532:Z532"/>
    <mergeCell ref="AA532:AA532"/>
    <mergeCell ref="AB532:AB532"/>
    <mergeCell ref="AC532:AC532"/>
    <mergeCell ref="AD532:AD532"/>
    <mergeCell ref="AE532:AE532"/>
    <mergeCell ref="AF532:AF532"/>
    <mergeCell ref="A533:A533"/>
    <mergeCell ref="B533:B533"/>
    <mergeCell ref="C533:C533"/>
    <mergeCell ref="F533:F533"/>
    <mergeCell ref="G533:G533"/>
    <mergeCell ref="H533:H533"/>
    <mergeCell ref="M533:M533"/>
    <mergeCell ref="N533:N533"/>
    <mergeCell ref="O533:O533"/>
    <mergeCell ref="P533:P533"/>
    <mergeCell ref="Q533:Q533"/>
    <mergeCell ref="R533:R533"/>
    <mergeCell ref="S533:S533"/>
    <mergeCell ref="X533:X533"/>
    <mergeCell ref="Y533:Y533"/>
    <mergeCell ref="Z533:Z533"/>
    <mergeCell ref="AA533:AA533"/>
    <mergeCell ref="AB533:AB533"/>
    <mergeCell ref="AC533:AC533"/>
    <mergeCell ref="AD533:AD533"/>
    <mergeCell ref="AE533:AE533"/>
    <mergeCell ref="AF533:AF533"/>
    <mergeCell ref="A534:A534"/>
    <mergeCell ref="B534:B534"/>
    <mergeCell ref="C534:C534"/>
    <mergeCell ref="F534:F534"/>
    <mergeCell ref="G534:G534"/>
    <mergeCell ref="H534:H534"/>
    <mergeCell ref="M534:M534"/>
    <mergeCell ref="N534:N534"/>
    <mergeCell ref="O534:O534"/>
    <mergeCell ref="P534:P534"/>
    <mergeCell ref="Q534:Q534"/>
    <mergeCell ref="R534:R534"/>
    <mergeCell ref="S534:S534"/>
    <mergeCell ref="X534:X534"/>
    <mergeCell ref="Y534:Y534"/>
    <mergeCell ref="Z534:Z534"/>
    <mergeCell ref="AA534:AA534"/>
    <mergeCell ref="AB534:AB534"/>
    <mergeCell ref="AC534:AC534"/>
    <mergeCell ref="AD534:AD534"/>
    <mergeCell ref="AE534:AE534"/>
    <mergeCell ref="AF534:AF534"/>
    <mergeCell ref="A535:A535"/>
    <mergeCell ref="B535:B535"/>
    <mergeCell ref="C535:C535"/>
    <mergeCell ref="F535:F535"/>
    <mergeCell ref="G535:G535"/>
    <mergeCell ref="H535:H535"/>
    <mergeCell ref="M535:M535"/>
    <mergeCell ref="N535:N535"/>
    <mergeCell ref="O535:O535"/>
    <mergeCell ref="P535:P535"/>
    <mergeCell ref="Q535:Q535"/>
    <mergeCell ref="R535:R535"/>
    <mergeCell ref="S535:S535"/>
    <mergeCell ref="X535:X535"/>
    <mergeCell ref="Y535:Y535"/>
    <mergeCell ref="Z535:Z535"/>
    <mergeCell ref="AA535:AA535"/>
    <mergeCell ref="AB535:AB535"/>
    <mergeCell ref="AC535:AC535"/>
    <mergeCell ref="AD535:AD535"/>
    <mergeCell ref="AE535:AE535"/>
    <mergeCell ref="AF535:AF535"/>
    <mergeCell ref="A536:A536"/>
    <mergeCell ref="B536:B536"/>
    <mergeCell ref="C536:C536"/>
    <mergeCell ref="F536:F536"/>
    <mergeCell ref="G536:G536"/>
    <mergeCell ref="H536:H536"/>
    <mergeCell ref="M536:M536"/>
    <mergeCell ref="N536:N536"/>
    <mergeCell ref="O536:O536"/>
    <mergeCell ref="P536:P536"/>
    <mergeCell ref="Q536:Q536"/>
    <mergeCell ref="R536:R536"/>
    <mergeCell ref="S536:S536"/>
    <mergeCell ref="X536:X536"/>
    <mergeCell ref="Y536:Y536"/>
    <mergeCell ref="Z536:Z536"/>
    <mergeCell ref="AA536:AA536"/>
    <mergeCell ref="AB536:AB536"/>
    <mergeCell ref="AC536:AC536"/>
    <mergeCell ref="AD536:AD536"/>
    <mergeCell ref="AE536:AE536"/>
    <mergeCell ref="AF536:AF536"/>
    <mergeCell ref="A537:A537"/>
    <mergeCell ref="B537:B537"/>
    <mergeCell ref="C537:C537"/>
    <mergeCell ref="F537:F537"/>
    <mergeCell ref="G537:G537"/>
    <mergeCell ref="H537:H537"/>
    <mergeCell ref="M537:M537"/>
    <mergeCell ref="N537:N537"/>
    <mergeCell ref="O537:O537"/>
    <mergeCell ref="P537:P537"/>
    <mergeCell ref="Q537:Q537"/>
    <mergeCell ref="R537:R537"/>
    <mergeCell ref="S537:S537"/>
    <mergeCell ref="X537:X537"/>
    <mergeCell ref="Y537:Y537"/>
    <mergeCell ref="Z537:Z537"/>
    <mergeCell ref="AA537:AA537"/>
    <mergeCell ref="AB537:AB537"/>
    <mergeCell ref="AC537:AC537"/>
    <mergeCell ref="AD537:AD537"/>
    <mergeCell ref="AE537:AE537"/>
    <mergeCell ref="AF537:AF537"/>
    <mergeCell ref="A538:A538"/>
    <mergeCell ref="B538:B538"/>
    <mergeCell ref="C538:C538"/>
    <mergeCell ref="F538:F538"/>
    <mergeCell ref="G538:G538"/>
    <mergeCell ref="H538:H538"/>
    <mergeCell ref="M538:M538"/>
    <mergeCell ref="N538:N538"/>
    <mergeCell ref="O538:O538"/>
    <mergeCell ref="P538:P538"/>
    <mergeCell ref="Q538:Q538"/>
    <mergeCell ref="R538:R538"/>
    <mergeCell ref="S538:S538"/>
    <mergeCell ref="X538:X538"/>
    <mergeCell ref="Y538:Y538"/>
    <mergeCell ref="Z538:Z538"/>
    <mergeCell ref="AA538:AA538"/>
    <mergeCell ref="AB538:AB538"/>
    <mergeCell ref="AC538:AC538"/>
    <mergeCell ref="AD538:AD538"/>
    <mergeCell ref="AE538:AE538"/>
    <mergeCell ref="AF538:AF538"/>
    <mergeCell ref="A539:A539"/>
    <mergeCell ref="B539:B539"/>
    <mergeCell ref="C539:C539"/>
    <mergeCell ref="F539:F539"/>
    <mergeCell ref="G539:G539"/>
    <mergeCell ref="H539:H539"/>
    <mergeCell ref="M539:M539"/>
    <mergeCell ref="N539:N539"/>
    <mergeCell ref="O539:O539"/>
    <mergeCell ref="P539:P539"/>
    <mergeCell ref="Q539:Q539"/>
    <mergeCell ref="R539:R539"/>
    <mergeCell ref="S539:S539"/>
    <mergeCell ref="X539:X539"/>
    <mergeCell ref="Y539:Y539"/>
    <mergeCell ref="Z539:Z539"/>
    <mergeCell ref="AA539:AA539"/>
    <mergeCell ref="AB539:AB539"/>
    <mergeCell ref="AC539:AC539"/>
    <mergeCell ref="AD539:AD539"/>
    <mergeCell ref="AE539:AE539"/>
    <mergeCell ref="AF539:AF539"/>
    <mergeCell ref="A540:A540"/>
    <mergeCell ref="B540:B540"/>
    <mergeCell ref="C540:C540"/>
    <mergeCell ref="F540:F540"/>
    <mergeCell ref="G540:G540"/>
    <mergeCell ref="H540:H540"/>
    <mergeCell ref="M540:M540"/>
    <mergeCell ref="N540:N540"/>
    <mergeCell ref="O540:O540"/>
    <mergeCell ref="P540:P540"/>
    <mergeCell ref="Q540:Q540"/>
    <mergeCell ref="R540:R540"/>
    <mergeCell ref="S540:S540"/>
    <mergeCell ref="X540:X540"/>
    <mergeCell ref="Y540:Y540"/>
    <mergeCell ref="Z540:Z540"/>
    <mergeCell ref="AA540:AA540"/>
    <mergeCell ref="AB540:AB540"/>
    <mergeCell ref="AC540:AC540"/>
    <mergeCell ref="AD540:AD540"/>
    <mergeCell ref="AE540:AE540"/>
    <mergeCell ref="AF540:AF540"/>
    <mergeCell ref="A541:A541"/>
    <mergeCell ref="B541:B541"/>
    <mergeCell ref="C541:C541"/>
    <mergeCell ref="F541:F541"/>
    <mergeCell ref="G541:G541"/>
    <mergeCell ref="H541:H541"/>
    <mergeCell ref="M541:M541"/>
    <mergeCell ref="N541:N541"/>
    <mergeCell ref="O541:O541"/>
    <mergeCell ref="P541:P541"/>
    <mergeCell ref="Q541:Q541"/>
    <mergeCell ref="R541:R541"/>
    <mergeCell ref="S541:S541"/>
    <mergeCell ref="X541:X541"/>
    <mergeCell ref="Y541:Y541"/>
    <mergeCell ref="Z541:Z541"/>
    <mergeCell ref="AA541:AA541"/>
    <mergeCell ref="AB541:AB541"/>
    <mergeCell ref="AC541:AC541"/>
    <mergeCell ref="AD541:AD541"/>
    <mergeCell ref="AE541:AE541"/>
    <mergeCell ref="AF541:AF541"/>
    <mergeCell ref="A542:A542"/>
    <mergeCell ref="B542:B542"/>
    <mergeCell ref="C542:C542"/>
    <mergeCell ref="F542:F542"/>
    <mergeCell ref="G542:G542"/>
    <mergeCell ref="H542:H542"/>
    <mergeCell ref="M542:M542"/>
    <mergeCell ref="N542:N542"/>
    <mergeCell ref="O542:O542"/>
    <mergeCell ref="P542:P542"/>
    <mergeCell ref="Q542:Q542"/>
    <mergeCell ref="R542:R542"/>
    <mergeCell ref="S542:S542"/>
    <mergeCell ref="X542:X542"/>
    <mergeCell ref="Y542:Y542"/>
    <mergeCell ref="Z542:Z542"/>
    <mergeCell ref="AA542:AA542"/>
    <mergeCell ref="AB542:AB542"/>
    <mergeCell ref="AC542:AC542"/>
    <mergeCell ref="AD542:AD542"/>
    <mergeCell ref="AE542:AE542"/>
    <mergeCell ref="AF542:AF542"/>
    <mergeCell ref="A543:A543"/>
    <mergeCell ref="B543:B543"/>
    <mergeCell ref="C543:C543"/>
    <mergeCell ref="F543:F543"/>
    <mergeCell ref="G543:G543"/>
    <mergeCell ref="H543:H543"/>
    <mergeCell ref="M543:M543"/>
    <mergeCell ref="N543:N543"/>
    <mergeCell ref="O543:O543"/>
    <mergeCell ref="P543:P543"/>
    <mergeCell ref="Q543:Q543"/>
    <mergeCell ref="R543:R543"/>
    <mergeCell ref="S543:S543"/>
    <mergeCell ref="X543:X543"/>
    <mergeCell ref="Y543:Y543"/>
    <mergeCell ref="Z543:Z543"/>
    <mergeCell ref="AA543:AA543"/>
    <mergeCell ref="AB543:AB543"/>
    <mergeCell ref="AC543:AC543"/>
    <mergeCell ref="AD543:AD543"/>
    <mergeCell ref="AE543:AE543"/>
    <mergeCell ref="AF543:AF543"/>
    <mergeCell ref="A544:A544"/>
    <mergeCell ref="B544:B544"/>
    <mergeCell ref="C544:C544"/>
    <mergeCell ref="F544:F544"/>
    <mergeCell ref="G544:G544"/>
    <mergeCell ref="H544:H544"/>
    <mergeCell ref="M544:M544"/>
    <mergeCell ref="N544:N544"/>
    <mergeCell ref="O544:O544"/>
    <mergeCell ref="P544:P544"/>
    <mergeCell ref="Q544:Q544"/>
    <mergeCell ref="R544:R544"/>
    <mergeCell ref="S544:S544"/>
    <mergeCell ref="X544:X544"/>
    <mergeCell ref="Y544:Y544"/>
    <mergeCell ref="Z544:Z544"/>
    <mergeCell ref="AA544:AA544"/>
    <mergeCell ref="AB544:AB544"/>
    <mergeCell ref="AC544:AC544"/>
    <mergeCell ref="AD544:AD544"/>
    <mergeCell ref="AE544:AE544"/>
    <mergeCell ref="AF544:AF544"/>
    <mergeCell ref="A545:A545"/>
    <mergeCell ref="B545:B545"/>
    <mergeCell ref="C545:C545"/>
    <mergeCell ref="F545:F545"/>
    <mergeCell ref="G545:G545"/>
    <mergeCell ref="H545:H545"/>
    <mergeCell ref="M545:M545"/>
    <mergeCell ref="N545:N545"/>
    <mergeCell ref="O545:O545"/>
    <mergeCell ref="P545:P545"/>
    <mergeCell ref="Q545:Q545"/>
    <mergeCell ref="R545:R545"/>
    <mergeCell ref="S545:S545"/>
    <mergeCell ref="X545:X545"/>
    <mergeCell ref="Y545:Y545"/>
    <mergeCell ref="Z545:Z545"/>
    <mergeCell ref="AA545:AA545"/>
    <mergeCell ref="AB545:AB545"/>
    <mergeCell ref="AC545:AC545"/>
    <mergeCell ref="AD545:AD545"/>
    <mergeCell ref="AE545:AE545"/>
    <mergeCell ref="AF545:AF545"/>
    <mergeCell ref="A546:A546"/>
    <mergeCell ref="B546:B546"/>
    <mergeCell ref="C546:C546"/>
    <mergeCell ref="F546:F546"/>
    <mergeCell ref="G546:G546"/>
    <mergeCell ref="H546:H546"/>
    <mergeCell ref="M546:M546"/>
    <mergeCell ref="N546:N546"/>
    <mergeCell ref="O546:O546"/>
    <mergeCell ref="P546:P546"/>
    <mergeCell ref="Q546:Q546"/>
    <mergeCell ref="R546:R546"/>
    <mergeCell ref="S546:S546"/>
    <mergeCell ref="X546:X546"/>
    <mergeCell ref="Y546:Y546"/>
    <mergeCell ref="Z546:Z546"/>
    <mergeCell ref="AA546:AA546"/>
    <mergeCell ref="AB546:AB546"/>
    <mergeCell ref="AC546:AC546"/>
    <mergeCell ref="AD546:AD546"/>
    <mergeCell ref="AE546:AE546"/>
    <mergeCell ref="AF546:AF546"/>
    <mergeCell ref="A547:A547"/>
    <mergeCell ref="B547:B547"/>
    <mergeCell ref="C547:C547"/>
    <mergeCell ref="F547:F547"/>
    <mergeCell ref="G547:G547"/>
    <mergeCell ref="H547:H547"/>
    <mergeCell ref="M547:M547"/>
    <mergeCell ref="N547:N547"/>
    <mergeCell ref="O547:O547"/>
    <mergeCell ref="P547:P547"/>
    <mergeCell ref="Q547:Q547"/>
    <mergeCell ref="R547:R547"/>
    <mergeCell ref="S547:S547"/>
    <mergeCell ref="X547:X547"/>
    <mergeCell ref="Y547:Y547"/>
    <mergeCell ref="Z547:Z547"/>
    <mergeCell ref="AA547:AA547"/>
    <mergeCell ref="AB547:AB547"/>
    <mergeCell ref="AC547:AC547"/>
    <mergeCell ref="AD547:AD547"/>
    <mergeCell ref="AE547:AE547"/>
    <mergeCell ref="AF547:AF547"/>
    <mergeCell ref="A548:A548"/>
    <mergeCell ref="B548:B548"/>
    <mergeCell ref="C548:C548"/>
    <mergeCell ref="F548:F548"/>
    <mergeCell ref="G548:G548"/>
    <mergeCell ref="H548:H548"/>
    <mergeCell ref="M548:M548"/>
    <mergeCell ref="N548:N548"/>
    <mergeCell ref="O548:O548"/>
    <mergeCell ref="P548:P548"/>
    <mergeCell ref="Q548:Q548"/>
    <mergeCell ref="R548:R548"/>
    <mergeCell ref="S548:S548"/>
    <mergeCell ref="X548:X548"/>
    <mergeCell ref="Y548:Y548"/>
    <mergeCell ref="Z548:Z548"/>
    <mergeCell ref="AA548:AA548"/>
    <mergeCell ref="AB548:AB548"/>
    <mergeCell ref="AC548:AC548"/>
    <mergeCell ref="AD548:AD548"/>
    <mergeCell ref="AE548:AE548"/>
    <mergeCell ref="AF548:AF548"/>
    <mergeCell ref="A549:A549"/>
    <mergeCell ref="B549:B549"/>
    <mergeCell ref="C549:C549"/>
    <mergeCell ref="F549:F549"/>
    <mergeCell ref="G549:G549"/>
    <mergeCell ref="H549:H549"/>
    <mergeCell ref="M549:M549"/>
    <mergeCell ref="N549:N549"/>
    <mergeCell ref="O549:O549"/>
    <mergeCell ref="P549:P549"/>
    <mergeCell ref="Q549:Q549"/>
    <mergeCell ref="R549:R549"/>
    <mergeCell ref="S549:S549"/>
    <mergeCell ref="X549:X549"/>
    <mergeCell ref="Y549:Y549"/>
    <mergeCell ref="Z549:Z549"/>
    <mergeCell ref="AA549:AA549"/>
    <mergeCell ref="AB549:AB549"/>
    <mergeCell ref="AC549:AC549"/>
    <mergeCell ref="AD549:AD549"/>
    <mergeCell ref="AE549:AE549"/>
    <mergeCell ref="AF549:AF549"/>
    <mergeCell ref="A550:A550"/>
    <mergeCell ref="B550:B550"/>
    <mergeCell ref="C550:C550"/>
    <mergeCell ref="F550:F550"/>
    <mergeCell ref="G550:G550"/>
    <mergeCell ref="H550:H550"/>
    <mergeCell ref="M550:M550"/>
    <mergeCell ref="N550:N550"/>
    <mergeCell ref="O550:O550"/>
    <mergeCell ref="P550:P550"/>
    <mergeCell ref="Q550:Q550"/>
    <mergeCell ref="R550:R550"/>
    <mergeCell ref="S550:S550"/>
    <mergeCell ref="X550:X550"/>
    <mergeCell ref="Y550:Y550"/>
    <mergeCell ref="Z550:Z550"/>
    <mergeCell ref="AA550:AA550"/>
    <mergeCell ref="AB550:AB550"/>
    <mergeCell ref="AC550:AC550"/>
    <mergeCell ref="AD550:AD550"/>
    <mergeCell ref="AE550:AE550"/>
    <mergeCell ref="AF550:AF550"/>
    <mergeCell ref="A551:A551"/>
    <mergeCell ref="B551:B551"/>
    <mergeCell ref="C551:C551"/>
    <mergeCell ref="F551:F551"/>
    <mergeCell ref="G551:G551"/>
    <mergeCell ref="H551:H551"/>
    <mergeCell ref="M551:M551"/>
    <mergeCell ref="N551:N551"/>
    <mergeCell ref="O551:O551"/>
    <mergeCell ref="P551:P551"/>
    <mergeCell ref="Q551:Q551"/>
    <mergeCell ref="R551:R551"/>
    <mergeCell ref="S551:S551"/>
    <mergeCell ref="X551:X551"/>
    <mergeCell ref="Y551:Y551"/>
    <mergeCell ref="Z551:Z551"/>
    <mergeCell ref="AA551:AA551"/>
    <mergeCell ref="AB551:AB551"/>
    <mergeCell ref="AC551:AC551"/>
    <mergeCell ref="AD551:AD551"/>
    <mergeCell ref="AE551:AE551"/>
    <mergeCell ref="AF551:AF551"/>
    <mergeCell ref="A552:A552"/>
    <mergeCell ref="B552:B552"/>
    <mergeCell ref="C552:C552"/>
    <mergeCell ref="F552:F552"/>
    <mergeCell ref="G552:G552"/>
    <mergeCell ref="H552:H552"/>
    <mergeCell ref="M552:M552"/>
    <mergeCell ref="N552:N552"/>
    <mergeCell ref="O552:O552"/>
    <mergeCell ref="P552:P552"/>
    <mergeCell ref="Q552:Q552"/>
    <mergeCell ref="R552:R552"/>
    <mergeCell ref="S552:S552"/>
    <mergeCell ref="X552:X552"/>
    <mergeCell ref="Y552:Y552"/>
    <mergeCell ref="Z552:Z552"/>
    <mergeCell ref="AA552:AA552"/>
    <mergeCell ref="AB552:AB552"/>
    <mergeCell ref="AC552:AC552"/>
    <mergeCell ref="AD552:AD552"/>
    <mergeCell ref="AE552:AE552"/>
    <mergeCell ref="AF552:AF552"/>
    <mergeCell ref="A553:A553"/>
    <mergeCell ref="B553:B553"/>
    <mergeCell ref="C553:C553"/>
    <mergeCell ref="F553:F553"/>
    <mergeCell ref="G553:G553"/>
    <mergeCell ref="H553:H553"/>
    <mergeCell ref="M553:M553"/>
    <mergeCell ref="N553:N553"/>
    <mergeCell ref="O553:O553"/>
    <mergeCell ref="P553:P553"/>
    <mergeCell ref="Q553:Q553"/>
    <mergeCell ref="R553:R553"/>
    <mergeCell ref="S553:S553"/>
    <mergeCell ref="X553:X553"/>
    <mergeCell ref="Y553:Y553"/>
    <mergeCell ref="Z553:Z553"/>
    <mergeCell ref="AA553:AA553"/>
    <mergeCell ref="AB553:AB553"/>
    <mergeCell ref="AC553:AC553"/>
    <mergeCell ref="AD553:AD553"/>
    <mergeCell ref="AE553:AE553"/>
    <mergeCell ref="AF553:AF553"/>
    <mergeCell ref="A554:A554"/>
    <mergeCell ref="B554:B554"/>
    <mergeCell ref="C554:C554"/>
    <mergeCell ref="F554:F554"/>
    <mergeCell ref="G554:G554"/>
    <mergeCell ref="H554:H554"/>
    <mergeCell ref="M554:M554"/>
    <mergeCell ref="N554:N554"/>
    <mergeCell ref="O554:O554"/>
    <mergeCell ref="P554:P554"/>
    <mergeCell ref="Q554:Q554"/>
    <mergeCell ref="R554:R554"/>
    <mergeCell ref="S554:S554"/>
    <mergeCell ref="X554:X554"/>
    <mergeCell ref="Y554:Y554"/>
    <mergeCell ref="Z554:Z554"/>
    <mergeCell ref="AA554:AA554"/>
    <mergeCell ref="AB554:AB554"/>
    <mergeCell ref="AC554:AC554"/>
    <mergeCell ref="AD554:AD554"/>
    <mergeCell ref="AE554:AE554"/>
    <mergeCell ref="AF554:AF554"/>
    <mergeCell ref="A555:A555"/>
    <mergeCell ref="B555:B555"/>
    <mergeCell ref="C555:C555"/>
    <mergeCell ref="F555:F555"/>
    <mergeCell ref="G555:G555"/>
    <mergeCell ref="H555:H555"/>
    <mergeCell ref="M555:M555"/>
    <mergeCell ref="N555:N555"/>
    <mergeCell ref="O555:O555"/>
    <mergeCell ref="P555:P555"/>
    <mergeCell ref="Q555:Q555"/>
    <mergeCell ref="R555:R555"/>
    <mergeCell ref="S555:S555"/>
    <mergeCell ref="X555:X555"/>
    <mergeCell ref="Y555:Y555"/>
    <mergeCell ref="Z555:Z555"/>
    <mergeCell ref="AA555:AA555"/>
    <mergeCell ref="AB555:AB555"/>
    <mergeCell ref="AC555:AC555"/>
    <mergeCell ref="AD555:AD555"/>
    <mergeCell ref="AE555:AE555"/>
    <mergeCell ref="AF555:AF555"/>
    <mergeCell ref="A556:A556"/>
    <mergeCell ref="B556:B556"/>
    <mergeCell ref="C556:C556"/>
    <mergeCell ref="F556:F556"/>
    <mergeCell ref="G556:G556"/>
    <mergeCell ref="H556:H556"/>
    <mergeCell ref="M556:M556"/>
    <mergeCell ref="N556:N556"/>
    <mergeCell ref="O556:O556"/>
    <mergeCell ref="P556:P556"/>
    <mergeCell ref="Q556:Q556"/>
    <mergeCell ref="R556:R556"/>
    <mergeCell ref="S556:S556"/>
    <mergeCell ref="X556:X556"/>
    <mergeCell ref="Y556:Y556"/>
    <mergeCell ref="Z556:Z556"/>
    <mergeCell ref="AA556:AA556"/>
    <mergeCell ref="AB556:AB556"/>
    <mergeCell ref="AC556:AC556"/>
    <mergeCell ref="AD556:AD556"/>
    <mergeCell ref="AE556:AE556"/>
    <mergeCell ref="AF556:AF556"/>
    <mergeCell ref="A557:A557"/>
    <mergeCell ref="B557:B557"/>
    <mergeCell ref="C557:C557"/>
    <mergeCell ref="F557:F557"/>
    <mergeCell ref="G557:G557"/>
    <mergeCell ref="H557:H557"/>
    <mergeCell ref="M557:M557"/>
    <mergeCell ref="N557:N557"/>
    <mergeCell ref="O557:O557"/>
    <mergeCell ref="P557:P557"/>
    <mergeCell ref="Q557:Q557"/>
    <mergeCell ref="R557:R557"/>
    <mergeCell ref="S557:S557"/>
    <mergeCell ref="X557:X557"/>
    <mergeCell ref="Y557:Y557"/>
    <mergeCell ref="Z557:Z557"/>
    <mergeCell ref="AA557:AA557"/>
    <mergeCell ref="AB557:AB557"/>
    <mergeCell ref="AC557:AC557"/>
    <mergeCell ref="AD557:AD557"/>
    <mergeCell ref="AE557:AE557"/>
    <mergeCell ref="AF557:AF557"/>
    <mergeCell ref="A558:A558"/>
    <mergeCell ref="B558:B558"/>
    <mergeCell ref="C558:C558"/>
    <mergeCell ref="F558:F558"/>
    <mergeCell ref="G558:G558"/>
    <mergeCell ref="H558:H558"/>
    <mergeCell ref="M558:M558"/>
    <mergeCell ref="N558:N558"/>
    <mergeCell ref="O558:O558"/>
    <mergeCell ref="P558:P558"/>
    <mergeCell ref="Q558:Q558"/>
    <mergeCell ref="R558:R558"/>
    <mergeCell ref="S558:S558"/>
    <mergeCell ref="X558:X558"/>
    <mergeCell ref="Y558:Y558"/>
    <mergeCell ref="Z558:Z558"/>
    <mergeCell ref="AA558:AA558"/>
    <mergeCell ref="AB558:AB558"/>
    <mergeCell ref="AC558:AC558"/>
    <mergeCell ref="AD558:AD558"/>
    <mergeCell ref="AE558:AE558"/>
    <mergeCell ref="AF558:AF558"/>
    <mergeCell ref="A559:A559"/>
    <mergeCell ref="B559:B559"/>
    <mergeCell ref="C559:C559"/>
    <mergeCell ref="F559:F559"/>
    <mergeCell ref="G559:G559"/>
    <mergeCell ref="H559:H559"/>
    <mergeCell ref="M559:M559"/>
    <mergeCell ref="N559:N559"/>
    <mergeCell ref="O559:O559"/>
    <mergeCell ref="P559:P559"/>
    <mergeCell ref="Q559:Q559"/>
    <mergeCell ref="R559:R559"/>
    <mergeCell ref="S559:S559"/>
    <mergeCell ref="X559:X559"/>
    <mergeCell ref="Y559:Y559"/>
    <mergeCell ref="Z559:Z559"/>
    <mergeCell ref="AA559:AA559"/>
    <mergeCell ref="AB559:AB559"/>
    <mergeCell ref="AC559:AC559"/>
    <mergeCell ref="AD559:AD559"/>
    <mergeCell ref="AE559:AE559"/>
    <mergeCell ref="AF559:AF559"/>
    <mergeCell ref="A560:A560"/>
    <mergeCell ref="B560:B560"/>
    <mergeCell ref="C560:C560"/>
    <mergeCell ref="F560:F560"/>
    <mergeCell ref="G560:G560"/>
    <mergeCell ref="H560:H560"/>
    <mergeCell ref="M560:M560"/>
    <mergeCell ref="N560:N560"/>
    <mergeCell ref="O560:O560"/>
    <mergeCell ref="P560:P560"/>
    <mergeCell ref="Q560:Q560"/>
    <mergeCell ref="R560:R560"/>
    <mergeCell ref="S560:S560"/>
    <mergeCell ref="X560:X560"/>
    <mergeCell ref="Y560:Y560"/>
    <mergeCell ref="Z560:Z560"/>
    <mergeCell ref="AA560:AA560"/>
    <mergeCell ref="AB560:AB560"/>
    <mergeCell ref="AC560:AC560"/>
    <mergeCell ref="AD560:AD560"/>
    <mergeCell ref="AE560:AE560"/>
    <mergeCell ref="AF560:AF560"/>
    <mergeCell ref="A561:A561"/>
    <mergeCell ref="B561:B561"/>
    <mergeCell ref="C561:C561"/>
    <mergeCell ref="F561:F561"/>
    <mergeCell ref="G561:G561"/>
    <mergeCell ref="H561:H561"/>
    <mergeCell ref="M561:M561"/>
    <mergeCell ref="N561:N561"/>
    <mergeCell ref="O561:O561"/>
    <mergeCell ref="P561:P561"/>
    <mergeCell ref="Q561:Q561"/>
    <mergeCell ref="R561:R561"/>
    <mergeCell ref="S561:S561"/>
    <mergeCell ref="X561:X561"/>
    <mergeCell ref="Y561:Y561"/>
    <mergeCell ref="Z561:Z561"/>
    <mergeCell ref="AA561:AA561"/>
    <mergeCell ref="AB561:AB561"/>
    <mergeCell ref="AC561:AC561"/>
    <mergeCell ref="AD561:AD561"/>
    <mergeCell ref="AE561:AE561"/>
    <mergeCell ref="AF561:AF561"/>
    <mergeCell ref="A562:A562"/>
    <mergeCell ref="B562:B562"/>
    <mergeCell ref="C562:C562"/>
    <mergeCell ref="F562:F562"/>
    <mergeCell ref="G562:G562"/>
    <mergeCell ref="H562:H562"/>
    <mergeCell ref="M562:M562"/>
    <mergeCell ref="N562:N562"/>
    <mergeCell ref="O562:O562"/>
    <mergeCell ref="P562:P562"/>
    <mergeCell ref="Q562:Q562"/>
    <mergeCell ref="R562:R562"/>
    <mergeCell ref="S562:S562"/>
    <mergeCell ref="X562:X562"/>
    <mergeCell ref="Y562:Y562"/>
    <mergeCell ref="Z562:Z562"/>
    <mergeCell ref="AA562:AA562"/>
    <mergeCell ref="AB562:AB562"/>
    <mergeCell ref="AC562:AC562"/>
    <mergeCell ref="AD562:AD562"/>
    <mergeCell ref="AE562:AE562"/>
    <mergeCell ref="AF562:AF562"/>
    <mergeCell ref="A563:A563"/>
    <mergeCell ref="B563:B563"/>
    <mergeCell ref="C563:C563"/>
    <mergeCell ref="F563:F563"/>
    <mergeCell ref="G563:G563"/>
    <mergeCell ref="H563:H563"/>
    <mergeCell ref="M563:M563"/>
    <mergeCell ref="N563:N563"/>
    <mergeCell ref="O563:O563"/>
    <mergeCell ref="P563:P563"/>
    <mergeCell ref="Q563:Q563"/>
    <mergeCell ref="R563:R563"/>
    <mergeCell ref="S563:S563"/>
    <mergeCell ref="X563:X563"/>
    <mergeCell ref="Y563:Y563"/>
    <mergeCell ref="Z563:Z563"/>
    <mergeCell ref="AA563:AA563"/>
    <mergeCell ref="AB563:AB563"/>
    <mergeCell ref="AC563:AC563"/>
    <mergeCell ref="AD563:AD563"/>
    <mergeCell ref="AE563:AE563"/>
    <mergeCell ref="AF563:AF563"/>
    <mergeCell ref="A564:A564"/>
    <mergeCell ref="B564:B564"/>
    <mergeCell ref="C564:C564"/>
    <mergeCell ref="F564:F564"/>
    <mergeCell ref="G564:G564"/>
    <mergeCell ref="H564:H564"/>
    <mergeCell ref="M564:M564"/>
    <mergeCell ref="N564:N564"/>
    <mergeCell ref="O564:O564"/>
    <mergeCell ref="P564:P564"/>
    <mergeCell ref="Q564:Q564"/>
    <mergeCell ref="R564:R564"/>
    <mergeCell ref="S564:S564"/>
    <mergeCell ref="X564:X564"/>
    <mergeCell ref="Y564:Y564"/>
    <mergeCell ref="Z564:Z564"/>
    <mergeCell ref="AA564:AA564"/>
    <mergeCell ref="AB564:AB564"/>
    <mergeCell ref="AC564:AC564"/>
    <mergeCell ref="AD564:AD564"/>
    <mergeCell ref="AE564:AE564"/>
    <mergeCell ref="AF564:AF564"/>
    <mergeCell ref="A565:A565"/>
    <mergeCell ref="B565:B565"/>
    <mergeCell ref="C565:C565"/>
    <mergeCell ref="F565:F565"/>
    <mergeCell ref="G565:G565"/>
    <mergeCell ref="H565:H565"/>
    <mergeCell ref="M565:M565"/>
    <mergeCell ref="N565:N565"/>
    <mergeCell ref="O565:O565"/>
    <mergeCell ref="P565:P565"/>
    <mergeCell ref="Q565:Q565"/>
    <mergeCell ref="R565:R565"/>
    <mergeCell ref="S565:S565"/>
    <mergeCell ref="X565:X565"/>
    <mergeCell ref="Y565:Y565"/>
    <mergeCell ref="Z565:Z565"/>
    <mergeCell ref="AA565:AA565"/>
    <mergeCell ref="AB565:AB565"/>
    <mergeCell ref="AC565:AC565"/>
    <mergeCell ref="AD565:AD565"/>
    <mergeCell ref="AE565:AE565"/>
    <mergeCell ref="AF565:AF565"/>
    <mergeCell ref="A566:A566"/>
    <mergeCell ref="B566:B566"/>
    <mergeCell ref="C566:C566"/>
    <mergeCell ref="F566:F566"/>
    <mergeCell ref="G566:G566"/>
    <mergeCell ref="H566:H566"/>
    <mergeCell ref="M566:M566"/>
    <mergeCell ref="N566:N566"/>
    <mergeCell ref="O566:O566"/>
    <mergeCell ref="P566:P566"/>
    <mergeCell ref="Q566:Q566"/>
    <mergeCell ref="R566:R566"/>
    <mergeCell ref="S566:S566"/>
    <mergeCell ref="X566:X566"/>
    <mergeCell ref="Y566:Y566"/>
    <mergeCell ref="Z566:Z566"/>
    <mergeCell ref="AA566:AA566"/>
    <mergeCell ref="AB566:AB566"/>
    <mergeCell ref="AC566:AC566"/>
    <mergeCell ref="AD566:AD566"/>
    <mergeCell ref="AE566:AE566"/>
    <mergeCell ref="AF566:AF566"/>
    <mergeCell ref="A567:A567"/>
    <mergeCell ref="B567:B567"/>
    <mergeCell ref="C567:C567"/>
    <mergeCell ref="F567:F567"/>
    <mergeCell ref="G567:G567"/>
    <mergeCell ref="H567:H567"/>
    <mergeCell ref="M567:M567"/>
    <mergeCell ref="N567:N567"/>
    <mergeCell ref="O567:O567"/>
    <mergeCell ref="P567:P567"/>
    <mergeCell ref="Q567:Q567"/>
    <mergeCell ref="R567:R567"/>
    <mergeCell ref="S567:S567"/>
    <mergeCell ref="X567:X567"/>
    <mergeCell ref="Y567:Y567"/>
    <mergeCell ref="Z567:Z567"/>
    <mergeCell ref="AA567:AA567"/>
    <mergeCell ref="AB567:AB567"/>
    <mergeCell ref="AC567:AC567"/>
    <mergeCell ref="AD567:AD567"/>
    <mergeCell ref="AE567:AE567"/>
    <mergeCell ref="AF567:AF567"/>
    <mergeCell ref="A568:A568"/>
    <mergeCell ref="B568:B568"/>
    <mergeCell ref="C568:C568"/>
    <mergeCell ref="F568:F568"/>
    <mergeCell ref="G568:G568"/>
    <mergeCell ref="H568:H568"/>
    <mergeCell ref="M568:M568"/>
    <mergeCell ref="N568:N568"/>
    <mergeCell ref="O568:O568"/>
    <mergeCell ref="P568:P568"/>
    <mergeCell ref="Q568:Q568"/>
    <mergeCell ref="R568:R568"/>
    <mergeCell ref="S568:S568"/>
    <mergeCell ref="X568:X568"/>
    <mergeCell ref="Y568:Y568"/>
    <mergeCell ref="Z568:Z568"/>
    <mergeCell ref="AA568:AA568"/>
    <mergeCell ref="AB568:AB568"/>
    <mergeCell ref="AC568:AC568"/>
    <mergeCell ref="AD568:AD568"/>
    <mergeCell ref="AE568:AE568"/>
    <mergeCell ref="AF568:AF568"/>
    <mergeCell ref="A569:A569"/>
    <mergeCell ref="B569:B569"/>
    <mergeCell ref="C569:C569"/>
    <mergeCell ref="F569:F569"/>
    <mergeCell ref="G569:G569"/>
    <mergeCell ref="H569:H569"/>
    <mergeCell ref="M569:M569"/>
    <mergeCell ref="N569:N569"/>
    <mergeCell ref="O569:O569"/>
    <mergeCell ref="P569:P569"/>
    <mergeCell ref="Q569:Q569"/>
    <mergeCell ref="R569:R569"/>
    <mergeCell ref="S569:S569"/>
    <mergeCell ref="X569:X569"/>
    <mergeCell ref="Y569:Y569"/>
    <mergeCell ref="Z569:Z569"/>
    <mergeCell ref="AA569:AA569"/>
    <mergeCell ref="AB569:AB569"/>
    <mergeCell ref="AC569:AC569"/>
    <mergeCell ref="AD569:AD569"/>
    <mergeCell ref="AE569:AE569"/>
    <mergeCell ref="AF569:AF569"/>
    <mergeCell ref="A570:A570"/>
    <mergeCell ref="B570:B570"/>
    <mergeCell ref="C570:C570"/>
    <mergeCell ref="F570:F570"/>
    <mergeCell ref="G570:G570"/>
    <mergeCell ref="H570:H570"/>
    <mergeCell ref="M570:M570"/>
    <mergeCell ref="N570:N570"/>
    <mergeCell ref="O570:O570"/>
    <mergeCell ref="P570:P570"/>
    <mergeCell ref="Q570:Q570"/>
    <mergeCell ref="R570:R570"/>
    <mergeCell ref="S570:S570"/>
    <mergeCell ref="X570:X570"/>
    <mergeCell ref="Y570:Y570"/>
    <mergeCell ref="Z570:Z570"/>
    <mergeCell ref="AA570:AA570"/>
    <mergeCell ref="AB570:AB570"/>
    <mergeCell ref="AC570:AC570"/>
    <mergeCell ref="AD570:AD570"/>
    <mergeCell ref="AE570:AE570"/>
    <mergeCell ref="AF570:AF570"/>
    <mergeCell ref="A571:A571"/>
    <mergeCell ref="B571:B571"/>
    <mergeCell ref="C571:C571"/>
    <mergeCell ref="F571:F571"/>
    <mergeCell ref="G571:G571"/>
    <mergeCell ref="H571:H571"/>
    <mergeCell ref="M571:M571"/>
    <mergeCell ref="N571:N571"/>
    <mergeCell ref="O571:O571"/>
    <mergeCell ref="P571:P571"/>
    <mergeCell ref="Q571:Q571"/>
    <mergeCell ref="R571:R571"/>
    <mergeCell ref="S571:S571"/>
    <mergeCell ref="X571:X571"/>
    <mergeCell ref="Y571:Y571"/>
    <mergeCell ref="Z571:Z571"/>
    <mergeCell ref="AA571:AA571"/>
    <mergeCell ref="AB571:AB571"/>
    <mergeCell ref="AC571:AC571"/>
    <mergeCell ref="AD571:AD571"/>
    <mergeCell ref="AE571:AE571"/>
    <mergeCell ref="AF571:AF571"/>
    <mergeCell ref="A572:A572"/>
    <mergeCell ref="B572:B572"/>
    <mergeCell ref="C572:C572"/>
    <mergeCell ref="F572:F572"/>
    <mergeCell ref="G572:G572"/>
    <mergeCell ref="H572:H572"/>
    <mergeCell ref="M572:M572"/>
    <mergeCell ref="N572:N572"/>
    <mergeCell ref="O572:O572"/>
    <mergeCell ref="P572:P572"/>
    <mergeCell ref="Q572:Q572"/>
    <mergeCell ref="R572:R572"/>
    <mergeCell ref="S572:S572"/>
    <mergeCell ref="X572:X572"/>
    <mergeCell ref="Y572:Y572"/>
    <mergeCell ref="Z572:Z572"/>
    <mergeCell ref="AA572:AA572"/>
    <mergeCell ref="AB572:AB572"/>
    <mergeCell ref="AC572:AC572"/>
    <mergeCell ref="AD572:AD572"/>
    <mergeCell ref="AE572:AE572"/>
    <mergeCell ref="AF572:AF572"/>
    <mergeCell ref="A573:A573"/>
    <mergeCell ref="B573:B573"/>
    <mergeCell ref="C573:C573"/>
    <mergeCell ref="F573:F573"/>
    <mergeCell ref="G573:G573"/>
    <mergeCell ref="H573:H573"/>
    <mergeCell ref="M573:M573"/>
    <mergeCell ref="N573:N573"/>
    <mergeCell ref="O573:O573"/>
    <mergeCell ref="P573:P573"/>
    <mergeCell ref="Q573:Q573"/>
    <mergeCell ref="R573:R573"/>
    <mergeCell ref="S573:S573"/>
    <mergeCell ref="X573:X573"/>
    <mergeCell ref="Y573:Y573"/>
    <mergeCell ref="Z573:Z573"/>
    <mergeCell ref="AA573:AA573"/>
    <mergeCell ref="AB573:AB573"/>
    <mergeCell ref="AC573:AC573"/>
    <mergeCell ref="AD573:AD573"/>
    <mergeCell ref="AE573:AE573"/>
    <mergeCell ref="AF573:AF573"/>
    <mergeCell ref="A574:A574"/>
    <mergeCell ref="B574:B574"/>
    <mergeCell ref="C574:C574"/>
    <mergeCell ref="F574:F574"/>
    <mergeCell ref="G574:G574"/>
    <mergeCell ref="H574:H574"/>
    <mergeCell ref="M574:M574"/>
    <mergeCell ref="N574:N574"/>
    <mergeCell ref="O574:O574"/>
    <mergeCell ref="P574:P574"/>
    <mergeCell ref="Q574:Q574"/>
    <mergeCell ref="R574:R574"/>
    <mergeCell ref="S574:S574"/>
    <mergeCell ref="X574:X574"/>
    <mergeCell ref="Y574:Y574"/>
    <mergeCell ref="Z574:Z574"/>
    <mergeCell ref="AA574:AA574"/>
    <mergeCell ref="AB574:AB574"/>
    <mergeCell ref="AC574:AC574"/>
    <mergeCell ref="AD574:AD574"/>
    <mergeCell ref="AE574:AE574"/>
    <mergeCell ref="AF574:AF574"/>
    <mergeCell ref="A575:A575"/>
    <mergeCell ref="B575:B575"/>
    <mergeCell ref="C575:C575"/>
    <mergeCell ref="F575:F575"/>
    <mergeCell ref="G575:G575"/>
    <mergeCell ref="H575:H575"/>
    <mergeCell ref="M575:M575"/>
    <mergeCell ref="N575:N575"/>
    <mergeCell ref="O575:O575"/>
    <mergeCell ref="P575:P575"/>
    <mergeCell ref="Q575:Q575"/>
    <mergeCell ref="R575:R575"/>
    <mergeCell ref="S575:S575"/>
    <mergeCell ref="X575:X575"/>
    <mergeCell ref="Y575:Y575"/>
    <mergeCell ref="Z575:Z575"/>
    <mergeCell ref="AA575:AA575"/>
    <mergeCell ref="AB575:AB575"/>
    <mergeCell ref="AC575:AC575"/>
    <mergeCell ref="AD575:AD575"/>
    <mergeCell ref="AE575:AE575"/>
    <mergeCell ref="AF575:AF575"/>
    <mergeCell ref="A576:A576"/>
    <mergeCell ref="B576:B576"/>
    <mergeCell ref="C576:C576"/>
    <mergeCell ref="F576:F576"/>
    <mergeCell ref="G576:G576"/>
    <mergeCell ref="H576:H576"/>
    <mergeCell ref="M576:M576"/>
    <mergeCell ref="N576:N576"/>
    <mergeCell ref="O576:O576"/>
    <mergeCell ref="P576:P576"/>
    <mergeCell ref="Q576:Q576"/>
    <mergeCell ref="R576:R576"/>
    <mergeCell ref="S576:S576"/>
    <mergeCell ref="X576:X576"/>
    <mergeCell ref="Y576:Y576"/>
    <mergeCell ref="Z576:Z576"/>
    <mergeCell ref="AA576:AA576"/>
    <mergeCell ref="AB576:AB576"/>
    <mergeCell ref="AC576:AC576"/>
    <mergeCell ref="AD576:AD576"/>
    <mergeCell ref="AE576:AE576"/>
    <mergeCell ref="AF576:AF576"/>
    <mergeCell ref="A577:A577"/>
    <mergeCell ref="B577:B577"/>
    <mergeCell ref="C577:C577"/>
    <mergeCell ref="F577:F577"/>
    <mergeCell ref="G577:G577"/>
    <mergeCell ref="H577:H577"/>
    <mergeCell ref="M577:M577"/>
    <mergeCell ref="N577:N577"/>
    <mergeCell ref="O577:O577"/>
    <mergeCell ref="P577:P577"/>
    <mergeCell ref="Q577:Q577"/>
    <mergeCell ref="R577:R577"/>
    <mergeCell ref="S577:S577"/>
    <mergeCell ref="X577:X577"/>
    <mergeCell ref="Y577:Y577"/>
    <mergeCell ref="Z577:Z577"/>
    <mergeCell ref="AA577:AA577"/>
    <mergeCell ref="AB577:AB577"/>
    <mergeCell ref="AC577:AC577"/>
    <mergeCell ref="AD577:AD577"/>
    <mergeCell ref="AE577:AE577"/>
    <mergeCell ref="AF577:AF577"/>
    <mergeCell ref="A578:A578"/>
    <mergeCell ref="B578:B578"/>
    <mergeCell ref="C578:C578"/>
    <mergeCell ref="F578:F578"/>
    <mergeCell ref="G578:G578"/>
    <mergeCell ref="H578:H578"/>
    <mergeCell ref="M578:M578"/>
    <mergeCell ref="N578:N578"/>
    <mergeCell ref="O578:O578"/>
    <mergeCell ref="P578:P578"/>
    <mergeCell ref="Q578:Q578"/>
    <mergeCell ref="R578:R578"/>
    <mergeCell ref="S578:S578"/>
    <mergeCell ref="X578:X578"/>
    <mergeCell ref="Y578:Y578"/>
    <mergeCell ref="Z578:Z578"/>
    <mergeCell ref="AA578:AA578"/>
    <mergeCell ref="AB578:AB578"/>
    <mergeCell ref="AC578:AC578"/>
    <mergeCell ref="AD578:AD578"/>
    <mergeCell ref="AE578:AE578"/>
    <mergeCell ref="AF578:AF578"/>
    <mergeCell ref="A579:A579"/>
    <mergeCell ref="B579:B579"/>
    <mergeCell ref="C579:C579"/>
    <mergeCell ref="F579:F579"/>
    <mergeCell ref="G579:G579"/>
    <mergeCell ref="H579:H579"/>
    <mergeCell ref="M579:M579"/>
    <mergeCell ref="N579:N579"/>
    <mergeCell ref="O579:O579"/>
    <mergeCell ref="P579:P579"/>
    <mergeCell ref="Q579:Q579"/>
    <mergeCell ref="R579:R579"/>
    <mergeCell ref="S579:S579"/>
    <mergeCell ref="X579:X579"/>
    <mergeCell ref="Y579:Y579"/>
    <mergeCell ref="Z579:Z579"/>
    <mergeCell ref="AA579:AA579"/>
    <mergeCell ref="AB579:AB579"/>
    <mergeCell ref="AC579:AC579"/>
    <mergeCell ref="AD579:AD579"/>
    <mergeCell ref="AE579:AE579"/>
    <mergeCell ref="AF579:AF579"/>
    <mergeCell ref="A580:A580"/>
    <mergeCell ref="B580:B580"/>
    <mergeCell ref="C580:C580"/>
    <mergeCell ref="F580:F580"/>
    <mergeCell ref="G580:G580"/>
    <mergeCell ref="H580:H580"/>
    <mergeCell ref="M580:M580"/>
    <mergeCell ref="N580:N580"/>
    <mergeCell ref="O580:O580"/>
    <mergeCell ref="P580:P580"/>
    <mergeCell ref="Q580:Q580"/>
    <mergeCell ref="R580:R580"/>
    <mergeCell ref="S580:S580"/>
    <mergeCell ref="X580:X580"/>
    <mergeCell ref="Y580:Y580"/>
    <mergeCell ref="Z580:Z580"/>
    <mergeCell ref="AA580:AA580"/>
    <mergeCell ref="AB580:AB580"/>
    <mergeCell ref="AC580:AC580"/>
    <mergeCell ref="AD580:AD580"/>
    <mergeCell ref="AE580:AE580"/>
    <mergeCell ref="AF580:AF580"/>
    <mergeCell ref="A581:A581"/>
    <mergeCell ref="B581:B581"/>
    <mergeCell ref="C581:C581"/>
    <mergeCell ref="F581:F581"/>
    <mergeCell ref="G581:G581"/>
    <mergeCell ref="H581:H581"/>
    <mergeCell ref="M581:M581"/>
    <mergeCell ref="N581:N581"/>
    <mergeCell ref="O581:O581"/>
    <mergeCell ref="P581:P581"/>
    <mergeCell ref="Q581:Q581"/>
    <mergeCell ref="R581:R581"/>
    <mergeCell ref="S581:S581"/>
    <mergeCell ref="X581:X581"/>
    <mergeCell ref="Y581:Y581"/>
    <mergeCell ref="Z581:Z581"/>
    <mergeCell ref="AA581:AA581"/>
    <mergeCell ref="AB581:AB581"/>
    <mergeCell ref="AC581:AC581"/>
    <mergeCell ref="AD581:AD581"/>
    <mergeCell ref="AE581:AE581"/>
    <mergeCell ref="AF581:AF581"/>
    <mergeCell ref="A582:A582"/>
    <mergeCell ref="B582:B582"/>
    <mergeCell ref="C582:C582"/>
    <mergeCell ref="F582:F582"/>
    <mergeCell ref="G582:G582"/>
    <mergeCell ref="H582:H582"/>
    <mergeCell ref="M582:M582"/>
    <mergeCell ref="N582:N582"/>
    <mergeCell ref="O582:O582"/>
    <mergeCell ref="P582:P582"/>
    <mergeCell ref="Q582:Q582"/>
    <mergeCell ref="R582:R582"/>
    <mergeCell ref="S582:S582"/>
    <mergeCell ref="X582:X582"/>
    <mergeCell ref="Y582:Y582"/>
    <mergeCell ref="Z582:Z582"/>
    <mergeCell ref="AA582:AA582"/>
    <mergeCell ref="AB582:AB582"/>
    <mergeCell ref="AC582:AC582"/>
    <mergeCell ref="AD582:AD582"/>
    <mergeCell ref="AE582:AE582"/>
    <mergeCell ref="AF582:AF582"/>
    <mergeCell ref="A583:A583"/>
    <mergeCell ref="B583:B583"/>
    <mergeCell ref="C583:C583"/>
    <mergeCell ref="F583:F583"/>
    <mergeCell ref="G583:G583"/>
    <mergeCell ref="H583:H583"/>
    <mergeCell ref="M583:M583"/>
    <mergeCell ref="N583:N583"/>
    <mergeCell ref="O583:O583"/>
    <mergeCell ref="P583:P583"/>
    <mergeCell ref="Q583:Q583"/>
    <mergeCell ref="R583:R583"/>
    <mergeCell ref="S583:S583"/>
    <mergeCell ref="X583:X583"/>
    <mergeCell ref="Y583:Y583"/>
    <mergeCell ref="Z583:Z583"/>
    <mergeCell ref="AA583:AA583"/>
    <mergeCell ref="AB583:AB583"/>
    <mergeCell ref="AC583:AC583"/>
    <mergeCell ref="AD583:AD583"/>
    <mergeCell ref="AE583:AE583"/>
    <mergeCell ref="AF583:AF583"/>
    <mergeCell ref="A584:A584"/>
    <mergeCell ref="B584:B584"/>
    <mergeCell ref="C584:C584"/>
    <mergeCell ref="F584:F584"/>
    <mergeCell ref="G584:G584"/>
    <mergeCell ref="H584:H584"/>
    <mergeCell ref="M584:M584"/>
    <mergeCell ref="N584:N584"/>
    <mergeCell ref="O584:O584"/>
    <mergeCell ref="P584:P584"/>
    <mergeCell ref="Q584:Q584"/>
    <mergeCell ref="R584:R584"/>
    <mergeCell ref="S584:S584"/>
    <mergeCell ref="X584:X584"/>
    <mergeCell ref="Y584:Y584"/>
    <mergeCell ref="Z584:Z584"/>
    <mergeCell ref="AA584:AA584"/>
    <mergeCell ref="AB584:AB584"/>
    <mergeCell ref="AC584:AC584"/>
    <mergeCell ref="AD584:AD584"/>
    <mergeCell ref="AE584:AE584"/>
    <mergeCell ref="AF584:AF584"/>
    <mergeCell ref="A585:A585"/>
    <mergeCell ref="B585:B585"/>
    <mergeCell ref="C585:C585"/>
    <mergeCell ref="F585:F585"/>
    <mergeCell ref="G585:G585"/>
    <mergeCell ref="H585:H585"/>
    <mergeCell ref="M585:M585"/>
    <mergeCell ref="N585:N585"/>
    <mergeCell ref="O585:O585"/>
    <mergeCell ref="P585:P585"/>
    <mergeCell ref="Q585:Q585"/>
    <mergeCell ref="R585:R585"/>
    <mergeCell ref="S585:S585"/>
    <mergeCell ref="X585:X585"/>
    <mergeCell ref="Y585:Y585"/>
    <mergeCell ref="Z585:Z585"/>
    <mergeCell ref="AA585:AA585"/>
    <mergeCell ref="AB585:AB585"/>
    <mergeCell ref="AC585:AC585"/>
    <mergeCell ref="AD585:AD585"/>
    <mergeCell ref="AE585:AE585"/>
    <mergeCell ref="AF585:AF585"/>
    <mergeCell ref="A586:A586"/>
    <mergeCell ref="B586:B586"/>
    <mergeCell ref="C586:C586"/>
    <mergeCell ref="F586:F586"/>
    <mergeCell ref="G586:G586"/>
    <mergeCell ref="H586:H586"/>
    <mergeCell ref="M586:M586"/>
    <mergeCell ref="N586:N586"/>
    <mergeCell ref="O586:O586"/>
    <mergeCell ref="P586:P586"/>
    <mergeCell ref="Q586:Q586"/>
    <mergeCell ref="R586:R586"/>
    <mergeCell ref="S586:S586"/>
    <mergeCell ref="X586:X586"/>
    <mergeCell ref="Y586:Y586"/>
    <mergeCell ref="Z586:Z586"/>
    <mergeCell ref="AA586:AA586"/>
    <mergeCell ref="AB586:AB586"/>
    <mergeCell ref="AC586:AC586"/>
    <mergeCell ref="AD586:AD586"/>
    <mergeCell ref="AE586:AE586"/>
    <mergeCell ref="AF586:AF586"/>
    <mergeCell ref="A587:A587"/>
    <mergeCell ref="B587:B587"/>
    <mergeCell ref="C587:C587"/>
    <mergeCell ref="F587:F587"/>
    <mergeCell ref="G587:G587"/>
    <mergeCell ref="H587:H587"/>
    <mergeCell ref="M587:M587"/>
    <mergeCell ref="N587:N587"/>
    <mergeCell ref="O587:O587"/>
    <mergeCell ref="P587:P587"/>
    <mergeCell ref="Q587:Q587"/>
    <mergeCell ref="R587:R587"/>
    <mergeCell ref="S587:S587"/>
    <mergeCell ref="X587:X587"/>
    <mergeCell ref="Y587:Y587"/>
    <mergeCell ref="Z587:Z587"/>
    <mergeCell ref="AA587:AA587"/>
    <mergeCell ref="AB587:AB587"/>
    <mergeCell ref="AC587:AC587"/>
    <mergeCell ref="AD587:AD587"/>
    <mergeCell ref="AE587:AE587"/>
    <mergeCell ref="AF587:AF587"/>
    <mergeCell ref="A588:A588"/>
    <mergeCell ref="B588:B588"/>
    <mergeCell ref="C588:C588"/>
    <mergeCell ref="F588:F588"/>
    <mergeCell ref="G588:G588"/>
    <mergeCell ref="H588:H588"/>
    <mergeCell ref="M588:M588"/>
    <mergeCell ref="N588:N588"/>
    <mergeCell ref="O588:O588"/>
    <mergeCell ref="P588:P588"/>
    <mergeCell ref="Q588:Q588"/>
    <mergeCell ref="R588:R588"/>
    <mergeCell ref="S588:S588"/>
    <mergeCell ref="X588:X588"/>
    <mergeCell ref="Y588:Y588"/>
    <mergeCell ref="Z588:Z588"/>
    <mergeCell ref="AA588:AA588"/>
    <mergeCell ref="AB588:AB588"/>
    <mergeCell ref="AC588:AC588"/>
    <mergeCell ref="AD588:AD588"/>
    <mergeCell ref="AE588:AE588"/>
    <mergeCell ref="AF588:AF588"/>
    <mergeCell ref="A589:A589"/>
    <mergeCell ref="B589:B589"/>
    <mergeCell ref="C589:C589"/>
    <mergeCell ref="F589:F589"/>
    <mergeCell ref="G589:G589"/>
    <mergeCell ref="H589:H589"/>
    <mergeCell ref="M589:M589"/>
    <mergeCell ref="N589:N589"/>
    <mergeCell ref="O589:O589"/>
    <mergeCell ref="P589:P589"/>
    <mergeCell ref="Q589:Q589"/>
    <mergeCell ref="R589:R589"/>
    <mergeCell ref="S589:S589"/>
    <mergeCell ref="X589:X589"/>
    <mergeCell ref="Y589:Y589"/>
    <mergeCell ref="Z589:Z589"/>
    <mergeCell ref="AA589:AA589"/>
    <mergeCell ref="AB589:AB589"/>
    <mergeCell ref="AC589:AC589"/>
    <mergeCell ref="AD589:AD589"/>
    <mergeCell ref="AE589:AE589"/>
    <mergeCell ref="AF589:AF589"/>
    <mergeCell ref="A590:A590"/>
    <mergeCell ref="B590:B590"/>
    <mergeCell ref="C590:C590"/>
    <mergeCell ref="F590:F590"/>
    <mergeCell ref="G590:G590"/>
    <mergeCell ref="H590:H590"/>
    <mergeCell ref="M590:M590"/>
    <mergeCell ref="N590:N590"/>
    <mergeCell ref="O590:O590"/>
    <mergeCell ref="P590:P590"/>
    <mergeCell ref="Q590:Q590"/>
    <mergeCell ref="R590:R590"/>
    <mergeCell ref="S590:S590"/>
    <mergeCell ref="X590:X590"/>
    <mergeCell ref="Y590:Y590"/>
    <mergeCell ref="Z590:Z590"/>
    <mergeCell ref="AA590:AA590"/>
    <mergeCell ref="AB590:AB590"/>
    <mergeCell ref="AC590:AC590"/>
    <mergeCell ref="AD590:AD590"/>
    <mergeCell ref="AE590:AE590"/>
    <mergeCell ref="AF590:AF590"/>
    <mergeCell ref="A591:A591"/>
    <mergeCell ref="B591:B591"/>
    <mergeCell ref="C591:C591"/>
    <mergeCell ref="F591:F591"/>
    <mergeCell ref="G591:G591"/>
    <mergeCell ref="H591:H591"/>
    <mergeCell ref="M591:M591"/>
    <mergeCell ref="N591:N591"/>
    <mergeCell ref="O591:O591"/>
    <mergeCell ref="P591:P591"/>
    <mergeCell ref="Q591:Q591"/>
    <mergeCell ref="R591:R591"/>
    <mergeCell ref="S591:S591"/>
    <mergeCell ref="X591:X591"/>
    <mergeCell ref="Y591:Y591"/>
    <mergeCell ref="Z591:Z591"/>
    <mergeCell ref="AA591:AA591"/>
    <mergeCell ref="AB591:AB591"/>
    <mergeCell ref="AC591:AC591"/>
    <mergeCell ref="AD591:AD591"/>
    <mergeCell ref="AE591:AE591"/>
    <mergeCell ref="AF591:AF591"/>
    <mergeCell ref="A592:A592"/>
    <mergeCell ref="B592:B592"/>
    <mergeCell ref="C592:C592"/>
    <mergeCell ref="F592:F592"/>
    <mergeCell ref="G592:G592"/>
    <mergeCell ref="H592:H592"/>
    <mergeCell ref="M592:M592"/>
    <mergeCell ref="N592:N592"/>
    <mergeCell ref="O592:O592"/>
    <mergeCell ref="P592:P592"/>
    <mergeCell ref="Q592:Q592"/>
    <mergeCell ref="R592:R592"/>
    <mergeCell ref="S592:S592"/>
    <mergeCell ref="X592:X592"/>
    <mergeCell ref="Y592:Y592"/>
    <mergeCell ref="Z592:Z592"/>
    <mergeCell ref="AA592:AA592"/>
    <mergeCell ref="AB592:AB592"/>
    <mergeCell ref="AC592:AC592"/>
    <mergeCell ref="AD592:AD592"/>
    <mergeCell ref="AE592:AE592"/>
    <mergeCell ref="AF592:AF592"/>
    <mergeCell ref="A593:A593"/>
    <mergeCell ref="B593:B593"/>
    <mergeCell ref="C593:C593"/>
    <mergeCell ref="F593:F593"/>
    <mergeCell ref="G593:G593"/>
    <mergeCell ref="H593:H593"/>
    <mergeCell ref="M593:M593"/>
    <mergeCell ref="N593:N593"/>
    <mergeCell ref="O593:O593"/>
    <mergeCell ref="P593:P593"/>
    <mergeCell ref="Q593:Q593"/>
    <mergeCell ref="R593:R593"/>
    <mergeCell ref="S593:S593"/>
    <mergeCell ref="X593:X593"/>
    <mergeCell ref="Y593:Y593"/>
    <mergeCell ref="Z593:Z593"/>
    <mergeCell ref="AA593:AA593"/>
    <mergeCell ref="AB593:AB593"/>
    <mergeCell ref="AC593:AC593"/>
    <mergeCell ref="AD593:AD593"/>
    <mergeCell ref="AE593:AE593"/>
    <mergeCell ref="AF593:AF593"/>
    <mergeCell ref="A594:A594"/>
    <mergeCell ref="B594:B594"/>
    <mergeCell ref="C594:C594"/>
    <mergeCell ref="F594:F594"/>
    <mergeCell ref="G594:G594"/>
    <mergeCell ref="H594:H594"/>
    <mergeCell ref="M594:M594"/>
    <mergeCell ref="N594:N594"/>
    <mergeCell ref="O594:O594"/>
    <mergeCell ref="P594:P594"/>
    <mergeCell ref="Q594:Q594"/>
    <mergeCell ref="R594:R594"/>
    <mergeCell ref="S594:S594"/>
    <mergeCell ref="X594:X594"/>
    <mergeCell ref="Y594:Y594"/>
    <mergeCell ref="Z594:Z594"/>
    <mergeCell ref="AA594:AA594"/>
    <mergeCell ref="AB594:AB594"/>
    <mergeCell ref="AC594:AC594"/>
    <mergeCell ref="AD594:AD594"/>
    <mergeCell ref="AE594:AE594"/>
    <mergeCell ref="AF594:AF594"/>
    <mergeCell ref="A595:A595"/>
    <mergeCell ref="B595:B595"/>
    <mergeCell ref="C595:C595"/>
    <mergeCell ref="F595:F595"/>
    <mergeCell ref="G595:G595"/>
    <mergeCell ref="H595:H595"/>
    <mergeCell ref="M595:M595"/>
    <mergeCell ref="N595:N595"/>
    <mergeCell ref="O595:O595"/>
    <mergeCell ref="P595:P595"/>
    <mergeCell ref="Q595:Q595"/>
    <mergeCell ref="R595:R595"/>
    <mergeCell ref="S595:S595"/>
    <mergeCell ref="X595:X595"/>
    <mergeCell ref="Y595:Y595"/>
    <mergeCell ref="Z595:Z595"/>
    <mergeCell ref="AA595:AA595"/>
    <mergeCell ref="AB595:AB595"/>
    <mergeCell ref="AC595:AC595"/>
    <mergeCell ref="AD595:AD595"/>
    <mergeCell ref="AE595:AE595"/>
    <mergeCell ref="AF595:AF595"/>
    <mergeCell ref="A596:A596"/>
    <mergeCell ref="B596:B596"/>
    <mergeCell ref="C596:C596"/>
    <mergeCell ref="F596:F596"/>
    <mergeCell ref="G596:G596"/>
    <mergeCell ref="H596:H596"/>
    <mergeCell ref="M596:M596"/>
    <mergeCell ref="N596:N596"/>
    <mergeCell ref="O596:O596"/>
    <mergeCell ref="P596:P596"/>
    <mergeCell ref="Q596:Q596"/>
    <mergeCell ref="R596:R596"/>
    <mergeCell ref="S596:S596"/>
    <mergeCell ref="X596:X596"/>
    <mergeCell ref="Y596:Y596"/>
    <mergeCell ref="Z596:Z596"/>
    <mergeCell ref="AA596:AA596"/>
    <mergeCell ref="AB596:AB596"/>
    <mergeCell ref="AC596:AC596"/>
    <mergeCell ref="AD596:AD596"/>
    <mergeCell ref="AE596:AE596"/>
    <mergeCell ref="AF596:AF596"/>
    <mergeCell ref="A597:A597"/>
    <mergeCell ref="B597:B597"/>
    <mergeCell ref="C597:C597"/>
    <mergeCell ref="F597:F597"/>
    <mergeCell ref="G597:G597"/>
    <mergeCell ref="H597:H597"/>
    <mergeCell ref="M597:M597"/>
    <mergeCell ref="N597:N597"/>
    <mergeCell ref="O597:O597"/>
    <mergeCell ref="P597:P597"/>
    <mergeCell ref="Q597:Q597"/>
    <mergeCell ref="R597:R597"/>
    <mergeCell ref="S597:S597"/>
    <mergeCell ref="X597:X597"/>
    <mergeCell ref="Y597:Y597"/>
    <mergeCell ref="Z597:Z597"/>
    <mergeCell ref="AA597:AA597"/>
    <mergeCell ref="AB597:AB597"/>
    <mergeCell ref="AC597:AC597"/>
    <mergeCell ref="AD597:AD597"/>
    <mergeCell ref="AE597:AE597"/>
    <mergeCell ref="AF597:AF597"/>
    <mergeCell ref="A598:A598"/>
    <mergeCell ref="B598:B598"/>
    <mergeCell ref="C598:C598"/>
    <mergeCell ref="F598:F598"/>
    <mergeCell ref="G598:G598"/>
    <mergeCell ref="H598:H598"/>
    <mergeCell ref="M598:M598"/>
    <mergeCell ref="N598:N598"/>
    <mergeCell ref="O598:O598"/>
    <mergeCell ref="P598:P598"/>
    <mergeCell ref="Q598:Q598"/>
    <mergeCell ref="R598:R598"/>
    <mergeCell ref="S598:S598"/>
    <mergeCell ref="X598:X598"/>
    <mergeCell ref="Y598:Y598"/>
    <mergeCell ref="Z598:Z598"/>
    <mergeCell ref="AA598:AA598"/>
    <mergeCell ref="AB598:AB598"/>
    <mergeCell ref="AC598:AC598"/>
    <mergeCell ref="AD598:AD598"/>
    <mergeCell ref="AE598:AE598"/>
    <mergeCell ref="AF598:AF598"/>
    <mergeCell ref="A599:A599"/>
    <mergeCell ref="B599:B599"/>
    <mergeCell ref="C599:C599"/>
    <mergeCell ref="F599:F599"/>
    <mergeCell ref="G599:G599"/>
    <mergeCell ref="H599:H599"/>
    <mergeCell ref="M599:M599"/>
    <mergeCell ref="N599:N599"/>
    <mergeCell ref="O599:O599"/>
    <mergeCell ref="P599:P599"/>
    <mergeCell ref="Q599:Q599"/>
    <mergeCell ref="R599:R599"/>
    <mergeCell ref="S599:S599"/>
    <mergeCell ref="X599:X599"/>
    <mergeCell ref="Y599:Y599"/>
    <mergeCell ref="Z599:Z599"/>
    <mergeCell ref="AA599:AA599"/>
    <mergeCell ref="AB599:AB599"/>
    <mergeCell ref="AC599:AC599"/>
    <mergeCell ref="AD599:AD599"/>
    <mergeCell ref="AE599:AE599"/>
    <mergeCell ref="AF599:AF599"/>
    <mergeCell ref="A600:A600"/>
    <mergeCell ref="B600:B600"/>
    <mergeCell ref="C600:C600"/>
    <mergeCell ref="F600:F600"/>
    <mergeCell ref="G600:G600"/>
    <mergeCell ref="H600:H600"/>
    <mergeCell ref="M600:M600"/>
    <mergeCell ref="N600:N600"/>
    <mergeCell ref="O600:O600"/>
    <mergeCell ref="P600:P600"/>
    <mergeCell ref="Q600:Q600"/>
    <mergeCell ref="R600:R600"/>
    <mergeCell ref="S600:S600"/>
    <mergeCell ref="X600:X600"/>
    <mergeCell ref="Y600:Y600"/>
    <mergeCell ref="Z600:Z600"/>
    <mergeCell ref="AA600:AA600"/>
    <mergeCell ref="AB600:AB600"/>
    <mergeCell ref="AC600:AC600"/>
    <mergeCell ref="AD600:AD600"/>
    <mergeCell ref="AE600:AE600"/>
    <mergeCell ref="AF600:AF600"/>
    <mergeCell ref="A601:A601"/>
    <mergeCell ref="B601:B601"/>
    <mergeCell ref="C601:C601"/>
    <mergeCell ref="F601:F601"/>
    <mergeCell ref="G601:G601"/>
    <mergeCell ref="H601:H601"/>
    <mergeCell ref="M601:M601"/>
    <mergeCell ref="N601:N601"/>
    <mergeCell ref="O601:O601"/>
    <mergeCell ref="P601:P601"/>
    <mergeCell ref="Q601:Q601"/>
    <mergeCell ref="R601:R601"/>
    <mergeCell ref="S601:S601"/>
    <mergeCell ref="X601:X601"/>
    <mergeCell ref="Y601:Y601"/>
    <mergeCell ref="Z601:Z601"/>
    <mergeCell ref="AA601:AA601"/>
    <mergeCell ref="AB601:AB601"/>
    <mergeCell ref="AC601:AC601"/>
    <mergeCell ref="AD601:AD601"/>
    <mergeCell ref="AE601:AE601"/>
    <mergeCell ref="AF601:AF601"/>
    <mergeCell ref="A602:A602"/>
    <mergeCell ref="B602:B602"/>
    <mergeCell ref="C602:C602"/>
    <mergeCell ref="F602:F602"/>
    <mergeCell ref="G602:G602"/>
    <mergeCell ref="H602:H602"/>
    <mergeCell ref="M602:M602"/>
    <mergeCell ref="N602:N602"/>
    <mergeCell ref="O602:O602"/>
    <mergeCell ref="P602:P602"/>
    <mergeCell ref="Q602:Q602"/>
    <mergeCell ref="R602:R602"/>
    <mergeCell ref="S602:S602"/>
    <mergeCell ref="X602:X602"/>
    <mergeCell ref="Y602:Y602"/>
    <mergeCell ref="Z602:Z602"/>
    <mergeCell ref="AA602:AA602"/>
    <mergeCell ref="AB602:AB602"/>
    <mergeCell ref="AC602:AC602"/>
    <mergeCell ref="AD602:AD602"/>
    <mergeCell ref="AE602:AE602"/>
    <mergeCell ref="AF602:AF602"/>
    <mergeCell ref="A603:A603"/>
    <mergeCell ref="B603:B603"/>
    <mergeCell ref="C603:C603"/>
    <mergeCell ref="F603:F603"/>
    <mergeCell ref="G603:G603"/>
    <mergeCell ref="H603:H603"/>
    <mergeCell ref="M603:M603"/>
    <mergeCell ref="N603:N603"/>
    <mergeCell ref="O603:O603"/>
    <mergeCell ref="P603:P603"/>
    <mergeCell ref="Q603:Q603"/>
    <mergeCell ref="R603:R603"/>
    <mergeCell ref="S603:S603"/>
    <mergeCell ref="X603:X603"/>
    <mergeCell ref="Y603:Y603"/>
    <mergeCell ref="Z603:Z603"/>
    <mergeCell ref="AA603:AA603"/>
    <mergeCell ref="AB603:AB603"/>
    <mergeCell ref="AC603:AC603"/>
    <mergeCell ref="AD603:AD603"/>
    <mergeCell ref="AE603:AE603"/>
    <mergeCell ref="AF603:AF603"/>
    <mergeCell ref="A604:A604"/>
    <mergeCell ref="B604:B604"/>
    <mergeCell ref="C604:C604"/>
    <mergeCell ref="F604:F604"/>
    <mergeCell ref="G604:G604"/>
    <mergeCell ref="H604:H604"/>
    <mergeCell ref="M604:M604"/>
    <mergeCell ref="N604:N604"/>
    <mergeCell ref="O604:O604"/>
    <mergeCell ref="P604:P604"/>
    <mergeCell ref="Q604:Q604"/>
    <mergeCell ref="R604:R604"/>
    <mergeCell ref="S604:S604"/>
    <mergeCell ref="X604:X604"/>
    <mergeCell ref="Y604:Y604"/>
    <mergeCell ref="Z604:Z604"/>
    <mergeCell ref="AA604:AA604"/>
    <mergeCell ref="AB604:AB604"/>
    <mergeCell ref="AC604:AC604"/>
    <mergeCell ref="AD604:AD604"/>
    <mergeCell ref="AE604:AE604"/>
    <mergeCell ref="AF604:AF604"/>
    <mergeCell ref="A605:A605"/>
    <mergeCell ref="B605:B605"/>
    <mergeCell ref="C605:C605"/>
    <mergeCell ref="F605:F605"/>
    <mergeCell ref="G605:G605"/>
    <mergeCell ref="H605:H605"/>
    <mergeCell ref="M605:M605"/>
    <mergeCell ref="N605:N605"/>
    <mergeCell ref="O605:O605"/>
    <mergeCell ref="P605:P605"/>
    <mergeCell ref="Q605:Q605"/>
    <mergeCell ref="R605:R605"/>
    <mergeCell ref="S605:S605"/>
    <mergeCell ref="X605:X605"/>
    <mergeCell ref="Y605:Y605"/>
    <mergeCell ref="Z605:Z605"/>
    <mergeCell ref="AA605:AA605"/>
    <mergeCell ref="AB605:AB605"/>
    <mergeCell ref="AC605:AC605"/>
    <mergeCell ref="AD605:AD605"/>
    <mergeCell ref="AE605:AE605"/>
    <mergeCell ref="AF605:AF605"/>
    <mergeCell ref="A606:A606"/>
    <mergeCell ref="B606:B606"/>
    <mergeCell ref="C606:C606"/>
    <mergeCell ref="F606:F606"/>
    <mergeCell ref="G606:G606"/>
    <mergeCell ref="H606:H606"/>
    <mergeCell ref="M606:M606"/>
    <mergeCell ref="N606:N606"/>
    <mergeCell ref="O606:O606"/>
    <mergeCell ref="P606:P606"/>
    <mergeCell ref="Q606:Q606"/>
    <mergeCell ref="R606:R606"/>
    <mergeCell ref="S606:S606"/>
    <mergeCell ref="X606:X606"/>
    <mergeCell ref="Y606:Y606"/>
    <mergeCell ref="Z606:Z606"/>
    <mergeCell ref="AA606:AA606"/>
    <mergeCell ref="AB606:AB606"/>
    <mergeCell ref="AC606:AC606"/>
    <mergeCell ref="AD606:AD606"/>
    <mergeCell ref="AE606:AE606"/>
    <mergeCell ref="AF606:AF606"/>
    <mergeCell ref="A607:A607"/>
    <mergeCell ref="B607:B607"/>
    <mergeCell ref="C607:C607"/>
    <mergeCell ref="F607:F607"/>
    <mergeCell ref="G607:G607"/>
    <mergeCell ref="H607:H607"/>
    <mergeCell ref="M607:M607"/>
    <mergeCell ref="N607:N607"/>
    <mergeCell ref="O607:O607"/>
    <mergeCell ref="P607:P607"/>
    <mergeCell ref="Q607:Q607"/>
    <mergeCell ref="R607:R607"/>
    <mergeCell ref="S607:S607"/>
    <mergeCell ref="X607:X607"/>
    <mergeCell ref="Y607:Y607"/>
    <mergeCell ref="Z607:Z607"/>
    <mergeCell ref="AA607:AA607"/>
    <mergeCell ref="AB607:AB607"/>
    <mergeCell ref="AC607:AC607"/>
    <mergeCell ref="AD607:AD607"/>
    <mergeCell ref="AE607:AE607"/>
    <mergeCell ref="AF607:AF607"/>
    <mergeCell ref="A608:A608"/>
    <mergeCell ref="B608:B608"/>
    <mergeCell ref="C608:C608"/>
    <mergeCell ref="F608:F608"/>
    <mergeCell ref="G608:G608"/>
    <mergeCell ref="H608:H608"/>
    <mergeCell ref="M608:M608"/>
    <mergeCell ref="N608:N608"/>
    <mergeCell ref="O608:O608"/>
    <mergeCell ref="P608:P608"/>
    <mergeCell ref="Q608:Q608"/>
    <mergeCell ref="R608:R608"/>
    <mergeCell ref="S608:S608"/>
    <mergeCell ref="X608:X608"/>
    <mergeCell ref="Y608:Y608"/>
    <mergeCell ref="Z608:Z608"/>
    <mergeCell ref="AA608:AA608"/>
    <mergeCell ref="AB608:AB608"/>
    <mergeCell ref="AC608:AC608"/>
    <mergeCell ref="AD608:AD608"/>
    <mergeCell ref="AE608:AE608"/>
    <mergeCell ref="AF608:AF608"/>
    <mergeCell ref="A609:A609"/>
    <mergeCell ref="B609:B609"/>
    <mergeCell ref="C609:C609"/>
    <mergeCell ref="F609:F609"/>
    <mergeCell ref="G609:G609"/>
    <mergeCell ref="H609:H609"/>
    <mergeCell ref="M609:M609"/>
    <mergeCell ref="N609:N609"/>
    <mergeCell ref="O609:O609"/>
    <mergeCell ref="P609:P609"/>
    <mergeCell ref="Q609:Q609"/>
    <mergeCell ref="R609:R609"/>
    <mergeCell ref="S609:S609"/>
    <mergeCell ref="X609:X609"/>
    <mergeCell ref="Y609:Y609"/>
    <mergeCell ref="Z609:Z609"/>
    <mergeCell ref="AA609:AA609"/>
    <mergeCell ref="AB609:AB609"/>
    <mergeCell ref="AC609:AC609"/>
    <mergeCell ref="AD609:AD609"/>
    <mergeCell ref="AE609:AE609"/>
    <mergeCell ref="AF609:AF609"/>
    <mergeCell ref="A610:A610"/>
    <mergeCell ref="B610:B610"/>
    <mergeCell ref="C610:C610"/>
    <mergeCell ref="F610:F610"/>
    <mergeCell ref="G610:G610"/>
    <mergeCell ref="H610:H610"/>
    <mergeCell ref="M610:M610"/>
    <mergeCell ref="N610:N610"/>
    <mergeCell ref="O610:O610"/>
    <mergeCell ref="P610:P610"/>
    <mergeCell ref="Q610:Q610"/>
    <mergeCell ref="R610:R610"/>
    <mergeCell ref="S610:S610"/>
    <mergeCell ref="X610:X610"/>
    <mergeCell ref="Y610:Y610"/>
    <mergeCell ref="Z610:Z610"/>
    <mergeCell ref="AA610:AA610"/>
    <mergeCell ref="AB610:AB610"/>
    <mergeCell ref="AC610:AC610"/>
    <mergeCell ref="AD610:AD610"/>
    <mergeCell ref="AE610:AE610"/>
    <mergeCell ref="AF610:AF610"/>
    <mergeCell ref="A611:A611"/>
    <mergeCell ref="B611:B611"/>
    <mergeCell ref="C611:C611"/>
    <mergeCell ref="F611:F611"/>
    <mergeCell ref="G611:G611"/>
    <mergeCell ref="H611:H611"/>
    <mergeCell ref="M611:M611"/>
    <mergeCell ref="N611:N611"/>
    <mergeCell ref="O611:O611"/>
    <mergeCell ref="P611:P611"/>
    <mergeCell ref="Q611:Q611"/>
    <mergeCell ref="R611:R611"/>
    <mergeCell ref="S611:S611"/>
    <mergeCell ref="X611:X611"/>
    <mergeCell ref="Y611:Y611"/>
    <mergeCell ref="Z611:Z611"/>
    <mergeCell ref="AA611:AA611"/>
    <mergeCell ref="AB611:AB611"/>
    <mergeCell ref="AC611:AC611"/>
    <mergeCell ref="AD611:AD611"/>
    <mergeCell ref="AE611:AE611"/>
    <mergeCell ref="AF611:AF611"/>
    <mergeCell ref="A612:A612"/>
    <mergeCell ref="B612:B612"/>
    <mergeCell ref="C612:C612"/>
    <mergeCell ref="F612:F612"/>
    <mergeCell ref="G612:G612"/>
    <mergeCell ref="H612:H612"/>
    <mergeCell ref="M612:M612"/>
    <mergeCell ref="N612:N612"/>
    <mergeCell ref="O612:O612"/>
    <mergeCell ref="P612:P612"/>
    <mergeCell ref="Q612:Q612"/>
    <mergeCell ref="R612:R612"/>
    <mergeCell ref="S612:S612"/>
    <mergeCell ref="X612:X612"/>
    <mergeCell ref="Y612:Y612"/>
    <mergeCell ref="Z612:Z612"/>
    <mergeCell ref="AA612:AA612"/>
    <mergeCell ref="AB612:AB612"/>
    <mergeCell ref="AC612:AC612"/>
    <mergeCell ref="AD612:AD612"/>
    <mergeCell ref="AE612:AE612"/>
    <mergeCell ref="AF612:AF612"/>
    <mergeCell ref="A613:A613"/>
    <mergeCell ref="B613:B613"/>
    <mergeCell ref="C613:C613"/>
    <mergeCell ref="F613:F613"/>
    <mergeCell ref="G613:G613"/>
    <mergeCell ref="H613:H613"/>
    <mergeCell ref="M613:M613"/>
    <mergeCell ref="N613:N613"/>
    <mergeCell ref="O613:O613"/>
    <mergeCell ref="P613:P613"/>
    <mergeCell ref="Q613:Q613"/>
    <mergeCell ref="R613:R613"/>
    <mergeCell ref="S613:S613"/>
    <mergeCell ref="X613:X613"/>
    <mergeCell ref="Y613:Y613"/>
    <mergeCell ref="Z613:Z613"/>
    <mergeCell ref="AA613:AA613"/>
    <mergeCell ref="AB613:AB613"/>
    <mergeCell ref="AC613:AC613"/>
    <mergeCell ref="AD613:AD613"/>
    <mergeCell ref="AE613:AE613"/>
    <mergeCell ref="AF613:AF613"/>
    <mergeCell ref="A614:A614"/>
    <mergeCell ref="B614:B614"/>
    <mergeCell ref="C614:C614"/>
    <mergeCell ref="F614:F614"/>
    <mergeCell ref="G614:G614"/>
    <mergeCell ref="H614:H614"/>
    <mergeCell ref="M614:M614"/>
    <mergeCell ref="N614:N614"/>
    <mergeCell ref="O614:O614"/>
    <mergeCell ref="P614:P614"/>
    <mergeCell ref="Q614:Q614"/>
    <mergeCell ref="R614:R614"/>
    <mergeCell ref="S614:S614"/>
    <mergeCell ref="X614:X614"/>
    <mergeCell ref="Y614:Y614"/>
    <mergeCell ref="Z614:Z614"/>
    <mergeCell ref="AA614:AA614"/>
    <mergeCell ref="AB614:AB614"/>
    <mergeCell ref="AC614:AC614"/>
    <mergeCell ref="AD614:AD614"/>
    <mergeCell ref="AE614:AE614"/>
    <mergeCell ref="AF614:AF614"/>
    <mergeCell ref="A615:A615"/>
    <mergeCell ref="B615:B615"/>
    <mergeCell ref="C615:C615"/>
    <mergeCell ref="F615:F615"/>
    <mergeCell ref="G615:G615"/>
    <mergeCell ref="H615:H615"/>
    <mergeCell ref="M615:M615"/>
    <mergeCell ref="N615:N615"/>
    <mergeCell ref="O615:O615"/>
    <mergeCell ref="P615:P615"/>
    <mergeCell ref="Q615:Q615"/>
    <mergeCell ref="R615:R615"/>
    <mergeCell ref="S615:S615"/>
    <mergeCell ref="X615:X615"/>
    <mergeCell ref="Y615:Y615"/>
    <mergeCell ref="Z615:Z615"/>
    <mergeCell ref="AA615:AA615"/>
    <mergeCell ref="AB615:AB615"/>
    <mergeCell ref="AC615:AC615"/>
    <mergeCell ref="AD615:AD615"/>
    <mergeCell ref="AE615:AE615"/>
    <mergeCell ref="AF615:AF615"/>
    <mergeCell ref="A616:A616"/>
    <mergeCell ref="B616:B616"/>
    <mergeCell ref="C616:C616"/>
    <mergeCell ref="F616:F616"/>
    <mergeCell ref="G616:G616"/>
    <mergeCell ref="H616:H616"/>
    <mergeCell ref="M616:M616"/>
    <mergeCell ref="N616:N616"/>
    <mergeCell ref="O616:O616"/>
    <mergeCell ref="P616:P616"/>
    <mergeCell ref="Q616:Q616"/>
    <mergeCell ref="R616:R616"/>
    <mergeCell ref="S616:S616"/>
    <mergeCell ref="X616:X616"/>
    <mergeCell ref="Y616:Y616"/>
    <mergeCell ref="Z616:Z616"/>
    <mergeCell ref="AA616:AA616"/>
    <mergeCell ref="AB616:AB616"/>
    <mergeCell ref="AC616:AC616"/>
    <mergeCell ref="AD616:AD616"/>
    <mergeCell ref="AE616:AE616"/>
    <mergeCell ref="AF616:AF616"/>
    <mergeCell ref="A617:A617"/>
    <mergeCell ref="B617:B617"/>
    <mergeCell ref="C617:C617"/>
    <mergeCell ref="F617:F617"/>
    <mergeCell ref="G617:G617"/>
    <mergeCell ref="H617:H617"/>
    <mergeCell ref="M617:M617"/>
    <mergeCell ref="N617:N617"/>
    <mergeCell ref="O617:O617"/>
    <mergeCell ref="P617:P617"/>
    <mergeCell ref="Q617:Q617"/>
    <mergeCell ref="R617:R617"/>
    <mergeCell ref="S617:S617"/>
    <mergeCell ref="X617:X617"/>
    <mergeCell ref="Y617:Y617"/>
    <mergeCell ref="Z617:Z617"/>
    <mergeCell ref="AA617:AA617"/>
    <mergeCell ref="AB617:AB617"/>
    <mergeCell ref="AC617:AC617"/>
    <mergeCell ref="AD617:AD617"/>
    <mergeCell ref="AE617:AE617"/>
    <mergeCell ref="AF617:AF617"/>
    <mergeCell ref="A618:A618"/>
    <mergeCell ref="B618:B618"/>
    <mergeCell ref="C618:C618"/>
    <mergeCell ref="F618:F618"/>
    <mergeCell ref="G618:G618"/>
    <mergeCell ref="H618:H618"/>
    <mergeCell ref="M618:M618"/>
    <mergeCell ref="N618:N618"/>
    <mergeCell ref="O618:O618"/>
    <mergeCell ref="P618:P618"/>
    <mergeCell ref="Q618:Q618"/>
    <mergeCell ref="R618:R618"/>
    <mergeCell ref="S618:S618"/>
    <mergeCell ref="X618:X618"/>
    <mergeCell ref="Y618:Y618"/>
    <mergeCell ref="Z618:Z618"/>
    <mergeCell ref="AA618:AA618"/>
    <mergeCell ref="AB618:AB618"/>
    <mergeCell ref="AC618:AC618"/>
    <mergeCell ref="AD618:AD618"/>
    <mergeCell ref="AE618:AE618"/>
    <mergeCell ref="AF618:AF618"/>
    <mergeCell ref="A619:A619"/>
    <mergeCell ref="B619:B619"/>
    <mergeCell ref="C619:C619"/>
    <mergeCell ref="F619:F619"/>
    <mergeCell ref="G619:G619"/>
    <mergeCell ref="H619:H619"/>
    <mergeCell ref="M619:M619"/>
    <mergeCell ref="N619:N619"/>
    <mergeCell ref="O619:O619"/>
    <mergeCell ref="P619:P619"/>
    <mergeCell ref="Q619:Q619"/>
    <mergeCell ref="R619:R619"/>
    <mergeCell ref="S619:S619"/>
    <mergeCell ref="X619:X619"/>
    <mergeCell ref="Y619:Y619"/>
    <mergeCell ref="Z619:Z619"/>
    <mergeCell ref="AA619:AA619"/>
    <mergeCell ref="AB619:AB619"/>
    <mergeCell ref="AC619:AC619"/>
    <mergeCell ref="AD619:AD619"/>
    <mergeCell ref="AE619:AE619"/>
    <mergeCell ref="AF619:AF619"/>
    <mergeCell ref="A620:A620"/>
    <mergeCell ref="B620:B620"/>
    <mergeCell ref="C620:C620"/>
    <mergeCell ref="F620:F620"/>
    <mergeCell ref="G620:G620"/>
    <mergeCell ref="H620:H620"/>
    <mergeCell ref="M620:M620"/>
    <mergeCell ref="N620:N620"/>
    <mergeCell ref="O620:O620"/>
    <mergeCell ref="P620:P620"/>
    <mergeCell ref="Q620:Q620"/>
    <mergeCell ref="R620:R620"/>
    <mergeCell ref="S620:S620"/>
    <mergeCell ref="X620:X620"/>
    <mergeCell ref="Y620:Y620"/>
    <mergeCell ref="Z620:Z620"/>
    <mergeCell ref="AA620:AA620"/>
    <mergeCell ref="AB620:AB620"/>
    <mergeCell ref="AC620:AC620"/>
    <mergeCell ref="AD620:AD620"/>
    <mergeCell ref="AE620:AE620"/>
    <mergeCell ref="AF620:AF620"/>
    <mergeCell ref="A621:A621"/>
    <mergeCell ref="B621:B621"/>
    <mergeCell ref="C621:C621"/>
    <mergeCell ref="F621:F621"/>
    <mergeCell ref="G621:G621"/>
    <mergeCell ref="H621:H621"/>
    <mergeCell ref="M621:M621"/>
    <mergeCell ref="N621:N621"/>
    <mergeCell ref="O621:O621"/>
    <mergeCell ref="P621:P621"/>
    <mergeCell ref="Q621:Q621"/>
    <mergeCell ref="R621:R621"/>
    <mergeCell ref="S621:S621"/>
    <mergeCell ref="X621:X621"/>
    <mergeCell ref="Y621:Y621"/>
    <mergeCell ref="Z621:Z621"/>
    <mergeCell ref="AA621:AA621"/>
    <mergeCell ref="AB621:AB621"/>
    <mergeCell ref="AC621:AC621"/>
    <mergeCell ref="AD621:AD621"/>
    <mergeCell ref="AE621:AE621"/>
    <mergeCell ref="AF621:AF621"/>
    <mergeCell ref="A622:A622"/>
    <mergeCell ref="B622:B622"/>
    <mergeCell ref="C622:C622"/>
    <mergeCell ref="F622:F622"/>
    <mergeCell ref="G622:G622"/>
    <mergeCell ref="H622:H622"/>
    <mergeCell ref="M622:M622"/>
    <mergeCell ref="N622:N622"/>
    <mergeCell ref="O622:O622"/>
    <mergeCell ref="P622:P622"/>
    <mergeCell ref="Q622:Q622"/>
    <mergeCell ref="R622:R622"/>
    <mergeCell ref="S622:S622"/>
    <mergeCell ref="X622:X622"/>
    <mergeCell ref="Y622:Y622"/>
    <mergeCell ref="Z622:Z622"/>
    <mergeCell ref="AA622:AA622"/>
    <mergeCell ref="AB622:AB622"/>
    <mergeCell ref="AC622:AC622"/>
    <mergeCell ref="AD622:AD622"/>
    <mergeCell ref="AE622:AE622"/>
    <mergeCell ref="AF622:AF622"/>
    <mergeCell ref="A623:A623"/>
    <mergeCell ref="B623:B623"/>
    <mergeCell ref="C623:C623"/>
    <mergeCell ref="F623:F623"/>
    <mergeCell ref="G623:G623"/>
    <mergeCell ref="H623:H623"/>
    <mergeCell ref="M623:M623"/>
    <mergeCell ref="N623:N623"/>
    <mergeCell ref="O623:O623"/>
    <mergeCell ref="P623:P623"/>
    <mergeCell ref="Q623:Q623"/>
    <mergeCell ref="R623:R623"/>
    <mergeCell ref="S623:S623"/>
    <mergeCell ref="X623:X623"/>
    <mergeCell ref="Y623:Y623"/>
    <mergeCell ref="Z623:Z623"/>
    <mergeCell ref="AA623:AA623"/>
    <mergeCell ref="AB623:AB623"/>
    <mergeCell ref="AC623:AC623"/>
    <mergeCell ref="AD623:AD623"/>
    <mergeCell ref="AE623:AE623"/>
    <mergeCell ref="AF623:AF623"/>
    <mergeCell ref="A624:A624"/>
    <mergeCell ref="B624:B624"/>
    <mergeCell ref="C624:C624"/>
    <mergeCell ref="F624:F624"/>
    <mergeCell ref="G624:G624"/>
    <mergeCell ref="H624:H624"/>
    <mergeCell ref="M624:M624"/>
    <mergeCell ref="N624:N624"/>
    <mergeCell ref="O624:O624"/>
    <mergeCell ref="P624:P624"/>
    <mergeCell ref="Q624:Q624"/>
    <mergeCell ref="R624:R624"/>
    <mergeCell ref="S624:S624"/>
    <mergeCell ref="X624:X624"/>
    <mergeCell ref="Y624:Y624"/>
    <mergeCell ref="Z624:Z624"/>
    <mergeCell ref="AA624:AA624"/>
    <mergeCell ref="AB624:AB624"/>
    <mergeCell ref="AC624:AC624"/>
    <mergeCell ref="AD624:AD624"/>
    <mergeCell ref="AE624:AE624"/>
    <mergeCell ref="AF624:AF624"/>
    <mergeCell ref="A625:A625"/>
    <mergeCell ref="B625:B625"/>
    <mergeCell ref="C625:C625"/>
    <mergeCell ref="F625:F625"/>
    <mergeCell ref="G625:G625"/>
    <mergeCell ref="H625:H625"/>
    <mergeCell ref="M625:M625"/>
    <mergeCell ref="N625:N625"/>
    <mergeCell ref="O625:O625"/>
    <mergeCell ref="P625:P625"/>
    <mergeCell ref="Q625:Q625"/>
    <mergeCell ref="R625:R625"/>
    <mergeCell ref="S625:S625"/>
    <mergeCell ref="X625:X625"/>
    <mergeCell ref="Y625:Y625"/>
    <mergeCell ref="Z625:Z625"/>
    <mergeCell ref="AA625:AA625"/>
    <mergeCell ref="AB625:AB625"/>
    <mergeCell ref="AC625:AC625"/>
    <mergeCell ref="AD625:AD625"/>
    <mergeCell ref="AE625:AE625"/>
    <mergeCell ref="AF625:AF625"/>
    <mergeCell ref="A626:A626"/>
    <mergeCell ref="B626:B626"/>
    <mergeCell ref="C626:C626"/>
    <mergeCell ref="F626:F626"/>
    <mergeCell ref="G626:G626"/>
    <mergeCell ref="H626:H626"/>
    <mergeCell ref="M626:M626"/>
    <mergeCell ref="N626:N626"/>
    <mergeCell ref="O626:O626"/>
    <mergeCell ref="P626:P626"/>
    <mergeCell ref="Q626:Q626"/>
    <mergeCell ref="R626:R626"/>
    <mergeCell ref="S626:S626"/>
    <mergeCell ref="X626:X626"/>
    <mergeCell ref="Y626:Y626"/>
    <mergeCell ref="Z626:Z626"/>
    <mergeCell ref="AA626:AA626"/>
    <mergeCell ref="AB626:AB626"/>
    <mergeCell ref="AC626:AC626"/>
    <mergeCell ref="AD626:AD626"/>
    <mergeCell ref="AE626:AE626"/>
    <mergeCell ref="AF626:AF626"/>
    <mergeCell ref="A627:A627"/>
    <mergeCell ref="B627:B627"/>
    <mergeCell ref="C627:C627"/>
    <mergeCell ref="F627:F627"/>
    <mergeCell ref="G627:G627"/>
    <mergeCell ref="H627:H627"/>
    <mergeCell ref="M627:M627"/>
    <mergeCell ref="N627:N627"/>
    <mergeCell ref="O627:O627"/>
    <mergeCell ref="P627:P627"/>
    <mergeCell ref="Q627:Q627"/>
    <mergeCell ref="R627:R627"/>
    <mergeCell ref="S627:S627"/>
    <mergeCell ref="X627:X627"/>
    <mergeCell ref="Y627:Y627"/>
    <mergeCell ref="Z627:Z627"/>
    <mergeCell ref="AA627:AA627"/>
    <mergeCell ref="AB627:AB627"/>
    <mergeCell ref="AC627:AC627"/>
    <mergeCell ref="AD627:AD627"/>
    <mergeCell ref="AE627:AE627"/>
    <mergeCell ref="AF627:AF627"/>
    <mergeCell ref="A628:A628"/>
    <mergeCell ref="B628:B628"/>
    <mergeCell ref="C628:C628"/>
    <mergeCell ref="F628:F628"/>
    <mergeCell ref="G628:G628"/>
    <mergeCell ref="H628:H628"/>
    <mergeCell ref="M628:M628"/>
    <mergeCell ref="N628:N628"/>
    <mergeCell ref="O628:O628"/>
    <mergeCell ref="P628:P628"/>
    <mergeCell ref="Q628:Q628"/>
    <mergeCell ref="R628:R628"/>
    <mergeCell ref="S628:S628"/>
    <mergeCell ref="X628:X628"/>
    <mergeCell ref="Y628:Y628"/>
    <mergeCell ref="Z628:Z628"/>
    <mergeCell ref="AA628:AA628"/>
    <mergeCell ref="AB628:AB628"/>
    <mergeCell ref="AC628:AC628"/>
    <mergeCell ref="AD628:AD628"/>
    <mergeCell ref="AE628:AE628"/>
    <mergeCell ref="AF628:AF628"/>
    <mergeCell ref="A629:A629"/>
    <mergeCell ref="B629:B629"/>
    <mergeCell ref="C629:C629"/>
    <mergeCell ref="F629:F629"/>
    <mergeCell ref="G629:G629"/>
    <mergeCell ref="H629:H629"/>
    <mergeCell ref="M629:M629"/>
    <mergeCell ref="N629:N629"/>
    <mergeCell ref="O629:O629"/>
    <mergeCell ref="P629:P629"/>
    <mergeCell ref="Q629:Q629"/>
    <mergeCell ref="R629:R629"/>
    <mergeCell ref="S629:S629"/>
    <mergeCell ref="X629:X629"/>
    <mergeCell ref="Y629:Y629"/>
    <mergeCell ref="Z629:Z629"/>
    <mergeCell ref="AA629:AA629"/>
    <mergeCell ref="AB629:AB629"/>
    <mergeCell ref="AC629:AC629"/>
    <mergeCell ref="AD629:AD629"/>
    <mergeCell ref="AE629:AE629"/>
    <mergeCell ref="AF629:AF629"/>
    <mergeCell ref="A630:A630"/>
    <mergeCell ref="B630:B630"/>
    <mergeCell ref="C630:C630"/>
    <mergeCell ref="F630:F630"/>
    <mergeCell ref="G630:G630"/>
    <mergeCell ref="H630:H630"/>
    <mergeCell ref="M630:M630"/>
    <mergeCell ref="N630:N630"/>
    <mergeCell ref="O630:O630"/>
    <mergeCell ref="P630:P630"/>
    <mergeCell ref="Q630:Q630"/>
    <mergeCell ref="R630:R630"/>
    <mergeCell ref="S630:S630"/>
    <mergeCell ref="X630:X630"/>
    <mergeCell ref="Y630:Y630"/>
    <mergeCell ref="Z630:Z630"/>
    <mergeCell ref="AA630:AA630"/>
    <mergeCell ref="AB630:AB630"/>
    <mergeCell ref="AC630:AC630"/>
    <mergeCell ref="AD630:AD630"/>
    <mergeCell ref="AE630:AE630"/>
    <mergeCell ref="AF630:AF630"/>
    <mergeCell ref="A631:A631"/>
    <mergeCell ref="B631:B631"/>
    <mergeCell ref="C631:C631"/>
    <mergeCell ref="F631:F631"/>
    <mergeCell ref="G631:G631"/>
    <mergeCell ref="H631:H631"/>
    <mergeCell ref="M631:M631"/>
    <mergeCell ref="N631:N631"/>
    <mergeCell ref="O631:O631"/>
    <mergeCell ref="P631:P631"/>
    <mergeCell ref="Q631:Q631"/>
    <mergeCell ref="R631:R631"/>
    <mergeCell ref="S631:S631"/>
    <mergeCell ref="X631:X631"/>
    <mergeCell ref="Y631:Y631"/>
    <mergeCell ref="Z631:Z631"/>
    <mergeCell ref="AA631:AA631"/>
    <mergeCell ref="AB631:AB631"/>
    <mergeCell ref="AC631:AC631"/>
    <mergeCell ref="AD631:AD631"/>
    <mergeCell ref="AE631:AE631"/>
    <mergeCell ref="AF631:AF631"/>
    <mergeCell ref="A632:A632"/>
    <mergeCell ref="B632:B632"/>
    <mergeCell ref="C632:C632"/>
    <mergeCell ref="F632:F632"/>
    <mergeCell ref="G632:G632"/>
    <mergeCell ref="H632:H632"/>
    <mergeCell ref="M632:M632"/>
    <mergeCell ref="N632:N632"/>
    <mergeCell ref="O632:O632"/>
    <mergeCell ref="P632:P632"/>
    <mergeCell ref="Q632:Q632"/>
    <mergeCell ref="R632:R632"/>
    <mergeCell ref="S632:S632"/>
    <mergeCell ref="X632:X632"/>
    <mergeCell ref="Y632:Y632"/>
    <mergeCell ref="Z632:Z632"/>
    <mergeCell ref="AA632:AA632"/>
    <mergeCell ref="AB632:AB632"/>
    <mergeCell ref="AC632:AC632"/>
    <mergeCell ref="AD632:AD632"/>
    <mergeCell ref="AE632:AE632"/>
    <mergeCell ref="AF632:AF632"/>
    <mergeCell ref="A633:A633"/>
    <mergeCell ref="B633:B633"/>
    <mergeCell ref="C633:C633"/>
    <mergeCell ref="F633:F633"/>
    <mergeCell ref="G633:G633"/>
    <mergeCell ref="H633:H633"/>
    <mergeCell ref="M633:M633"/>
    <mergeCell ref="N633:N633"/>
    <mergeCell ref="O633:O633"/>
    <mergeCell ref="P633:P633"/>
    <mergeCell ref="Q633:Q633"/>
    <mergeCell ref="R633:R633"/>
    <mergeCell ref="S633:S633"/>
    <mergeCell ref="X633:X633"/>
    <mergeCell ref="Y633:Y633"/>
    <mergeCell ref="Z633:Z633"/>
    <mergeCell ref="AA633:AA633"/>
    <mergeCell ref="AB633:AB633"/>
    <mergeCell ref="AC633:AC633"/>
    <mergeCell ref="AD633:AD633"/>
    <mergeCell ref="AE633:AE633"/>
    <mergeCell ref="AF633:AF633"/>
    <mergeCell ref="A634:A634"/>
    <mergeCell ref="B634:B634"/>
    <mergeCell ref="C634:C634"/>
    <mergeCell ref="F634:F634"/>
    <mergeCell ref="G634:G634"/>
    <mergeCell ref="H634:H634"/>
    <mergeCell ref="M634:M634"/>
    <mergeCell ref="N634:N634"/>
    <mergeCell ref="O634:O634"/>
    <mergeCell ref="P634:P634"/>
    <mergeCell ref="Q634:Q634"/>
    <mergeCell ref="R634:R634"/>
    <mergeCell ref="S634:S634"/>
    <mergeCell ref="X634:X634"/>
    <mergeCell ref="Y634:Y634"/>
    <mergeCell ref="Z634:Z634"/>
    <mergeCell ref="AA634:AA634"/>
    <mergeCell ref="AB634:AB634"/>
    <mergeCell ref="AC634:AC634"/>
    <mergeCell ref="AD634:AD634"/>
    <mergeCell ref="AE634:AE634"/>
    <mergeCell ref="AF634:AF634"/>
    <mergeCell ref="A635:A635"/>
    <mergeCell ref="B635:B635"/>
    <mergeCell ref="C635:C635"/>
    <mergeCell ref="F635:F635"/>
    <mergeCell ref="G635:G635"/>
    <mergeCell ref="H635:H635"/>
    <mergeCell ref="M635:M635"/>
    <mergeCell ref="N635:N635"/>
    <mergeCell ref="O635:O635"/>
    <mergeCell ref="P635:P635"/>
    <mergeCell ref="Q635:Q635"/>
    <mergeCell ref="R635:R635"/>
    <mergeCell ref="S635:S635"/>
    <mergeCell ref="X635:X635"/>
    <mergeCell ref="Y635:Y635"/>
    <mergeCell ref="Z635:Z635"/>
    <mergeCell ref="AA635:AA635"/>
    <mergeCell ref="AB635:AB635"/>
    <mergeCell ref="AC635:AC635"/>
    <mergeCell ref="AD635:AD635"/>
    <mergeCell ref="AE635:AE635"/>
    <mergeCell ref="AF635:AF635"/>
    <mergeCell ref="A636:A636"/>
    <mergeCell ref="B636:B636"/>
    <mergeCell ref="C636:C636"/>
    <mergeCell ref="F636:F636"/>
    <mergeCell ref="G636:G636"/>
    <mergeCell ref="H636:H636"/>
    <mergeCell ref="M636:M636"/>
    <mergeCell ref="N636:N636"/>
    <mergeCell ref="O636:O636"/>
    <mergeCell ref="P636:P636"/>
    <mergeCell ref="Q636:Q636"/>
    <mergeCell ref="R636:R636"/>
    <mergeCell ref="S636:S636"/>
    <mergeCell ref="X636:X636"/>
    <mergeCell ref="Y636:Y636"/>
    <mergeCell ref="Z636:Z636"/>
    <mergeCell ref="AA636:AA636"/>
    <mergeCell ref="AB636:AB636"/>
    <mergeCell ref="AC636:AC636"/>
    <mergeCell ref="AD636:AD636"/>
    <mergeCell ref="AE636:AE636"/>
    <mergeCell ref="AF636:AF636"/>
    <mergeCell ref="A637:A637"/>
    <mergeCell ref="B637:B637"/>
    <mergeCell ref="C637:C637"/>
    <mergeCell ref="F637:F637"/>
    <mergeCell ref="G637:G637"/>
    <mergeCell ref="H637:H637"/>
    <mergeCell ref="M637:M637"/>
    <mergeCell ref="N637:N637"/>
    <mergeCell ref="O637:O637"/>
    <mergeCell ref="P637:P637"/>
    <mergeCell ref="Q637:Q637"/>
    <mergeCell ref="R637:R637"/>
    <mergeCell ref="S637:S637"/>
    <mergeCell ref="X637:X637"/>
    <mergeCell ref="Y637:Y637"/>
    <mergeCell ref="Z637:Z637"/>
    <mergeCell ref="AA637:AA637"/>
    <mergeCell ref="AB637:AB637"/>
    <mergeCell ref="AC637:AC637"/>
    <mergeCell ref="AD637:AD637"/>
    <mergeCell ref="AE637:AE637"/>
    <mergeCell ref="AF637:AF637"/>
    <mergeCell ref="A638:A638"/>
    <mergeCell ref="B638:B638"/>
    <mergeCell ref="C638:C638"/>
    <mergeCell ref="F638:F638"/>
    <mergeCell ref="G638:G638"/>
    <mergeCell ref="H638:H638"/>
    <mergeCell ref="M638:M638"/>
    <mergeCell ref="N638:N638"/>
    <mergeCell ref="O638:O638"/>
    <mergeCell ref="P638:P638"/>
    <mergeCell ref="Q638:Q638"/>
    <mergeCell ref="R638:R638"/>
    <mergeCell ref="S638:S638"/>
    <mergeCell ref="X638:X638"/>
    <mergeCell ref="Y638:Y638"/>
    <mergeCell ref="Z638:Z638"/>
    <mergeCell ref="AA638:AA638"/>
    <mergeCell ref="AB638:AB638"/>
    <mergeCell ref="AC638:AC638"/>
    <mergeCell ref="AD638:AD638"/>
    <mergeCell ref="AE638:AE638"/>
    <mergeCell ref="AF638:AF638"/>
    <mergeCell ref="A639:A639"/>
    <mergeCell ref="B639:B639"/>
    <mergeCell ref="C639:C639"/>
    <mergeCell ref="F639:F639"/>
    <mergeCell ref="G639:G639"/>
    <mergeCell ref="H639:H639"/>
    <mergeCell ref="M639:M639"/>
    <mergeCell ref="N639:N639"/>
    <mergeCell ref="O639:O639"/>
    <mergeCell ref="P639:P639"/>
    <mergeCell ref="Q639:Q639"/>
    <mergeCell ref="R639:R639"/>
    <mergeCell ref="S639:S639"/>
    <mergeCell ref="X639:X639"/>
    <mergeCell ref="Y639:Y639"/>
    <mergeCell ref="Z639:Z639"/>
    <mergeCell ref="AA639:AA639"/>
    <mergeCell ref="AB639:AB639"/>
    <mergeCell ref="AC639:AC639"/>
    <mergeCell ref="AD639:AD639"/>
    <mergeCell ref="AE639:AE639"/>
    <mergeCell ref="AF639:AF639"/>
    <mergeCell ref="A640:A640"/>
    <mergeCell ref="B640:B640"/>
    <mergeCell ref="C640:C640"/>
    <mergeCell ref="F640:F640"/>
    <mergeCell ref="G640:G640"/>
    <mergeCell ref="H640:H640"/>
    <mergeCell ref="M640:M640"/>
    <mergeCell ref="N640:N640"/>
    <mergeCell ref="O640:O640"/>
    <mergeCell ref="P640:P640"/>
    <mergeCell ref="Q640:Q640"/>
    <mergeCell ref="R640:R640"/>
    <mergeCell ref="S640:S640"/>
    <mergeCell ref="X640:X640"/>
    <mergeCell ref="Y640:Y640"/>
    <mergeCell ref="Z640:Z640"/>
    <mergeCell ref="AA640:AA640"/>
    <mergeCell ref="AB640:AB640"/>
    <mergeCell ref="AC640:AC640"/>
    <mergeCell ref="AD640:AD640"/>
    <mergeCell ref="AE640:AE640"/>
    <mergeCell ref="AF640:AF640"/>
    <mergeCell ref="A641:A641"/>
    <mergeCell ref="B641:B641"/>
    <mergeCell ref="C641:C641"/>
    <mergeCell ref="F641:F641"/>
    <mergeCell ref="G641:G641"/>
    <mergeCell ref="H641:H641"/>
    <mergeCell ref="M641:M641"/>
    <mergeCell ref="N641:N641"/>
    <mergeCell ref="O641:O641"/>
    <mergeCell ref="P641:P641"/>
    <mergeCell ref="Q641:Q641"/>
    <mergeCell ref="R641:R641"/>
    <mergeCell ref="S641:S641"/>
    <mergeCell ref="X641:X641"/>
    <mergeCell ref="Y641:Y641"/>
    <mergeCell ref="Z641:Z641"/>
    <mergeCell ref="AA641:AA641"/>
    <mergeCell ref="AB641:AB641"/>
    <mergeCell ref="AC641:AC641"/>
    <mergeCell ref="AD641:AD641"/>
    <mergeCell ref="AE641:AE641"/>
    <mergeCell ref="AF641:AF641"/>
    <mergeCell ref="A642:A642"/>
    <mergeCell ref="B642:B642"/>
    <mergeCell ref="C642:C642"/>
    <mergeCell ref="F642:F642"/>
    <mergeCell ref="G642:G642"/>
    <mergeCell ref="H642:H642"/>
    <mergeCell ref="M642:M642"/>
    <mergeCell ref="N642:N642"/>
    <mergeCell ref="O642:O642"/>
    <mergeCell ref="P642:P642"/>
    <mergeCell ref="Q642:Q642"/>
    <mergeCell ref="R642:R642"/>
    <mergeCell ref="S642:S642"/>
    <mergeCell ref="X642:X642"/>
    <mergeCell ref="Y642:Y642"/>
    <mergeCell ref="Z642:Z642"/>
    <mergeCell ref="AA642:AA642"/>
    <mergeCell ref="AB642:AB642"/>
    <mergeCell ref="AC642:AC642"/>
    <mergeCell ref="AD642:AD642"/>
    <mergeCell ref="AE642:AE642"/>
    <mergeCell ref="AF642:AF642"/>
    <mergeCell ref="A643:A643"/>
    <mergeCell ref="B643:B643"/>
    <mergeCell ref="C643:C643"/>
    <mergeCell ref="F643:F643"/>
    <mergeCell ref="G643:G643"/>
    <mergeCell ref="H643:H643"/>
    <mergeCell ref="M643:M643"/>
    <mergeCell ref="N643:N643"/>
    <mergeCell ref="O643:O643"/>
    <mergeCell ref="P643:P643"/>
    <mergeCell ref="Q643:Q643"/>
    <mergeCell ref="R643:R643"/>
    <mergeCell ref="S643:S643"/>
    <mergeCell ref="X643:X643"/>
    <mergeCell ref="Y643:Y643"/>
    <mergeCell ref="Z643:Z643"/>
    <mergeCell ref="AA643:AA643"/>
    <mergeCell ref="AB643:AB643"/>
    <mergeCell ref="AC643:AC643"/>
    <mergeCell ref="AD643:AD643"/>
    <mergeCell ref="AE643:AE643"/>
    <mergeCell ref="AF643:AF643"/>
    <mergeCell ref="A644:A644"/>
    <mergeCell ref="B644:B644"/>
    <mergeCell ref="C644:C644"/>
    <mergeCell ref="F644:F644"/>
    <mergeCell ref="G644:G644"/>
    <mergeCell ref="H644:H644"/>
    <mergeCell ref="M644:M644"/>
    <mergeCell ref="N644:N644"/>
    <mergeCell ref="O644:O644"/>
    <mergeCell ref="P644:P644"/>
    <mergeCell ref="Q644:Q644"/>
    <mergeCell ref="R644:R644"/>
    <mergeCell ref="S644:S644"/>
    <mergeCell ref="X644:X644"/>
    <mergeCell ref="Y644:Y644"/>
    <mergeCell ref="Z644:Z644"/>
    <mergeCell ref="AA644:AA644"/>
    <mergeCell ref="AB644:AB644"/>
    <mergeCell ref="AC644:AC644"/>
    <mergeCell ref="AD644:AD644"/>
    <mergeCell ref="AE644:AE644"/>
    <mergeCell ref="AF644:AF644"/>
    <mergeCell ref="A645:A645"/>
    <mergeCell ref="B645:B645"/>
    <mergeCell ref="C645:C645"/>
    <mergeCell ref="F645:F645"/>
    <mergeCell ref="G645:G645"/>
    <mergeCell ref="H645:H645"/>
    <mergeCell ref="M645:M645"/>
    <mergeCell ref="N645:N645"/>
    <mergeCell ref="O645:O645"/>
    <mergeCell ref="P645:P645"/>
    <mergeCell ref="Q645:Q645"/>
    <mergeCell ref="R645:R645"/>
    <mergeCell ref="S645:S645"/>
    <mergeCell ref="X645:X645"/>
    <mergeCell ref="Y645:Y645"/>
    <mergeCell ref="Z645:Z645"/>
    <mergeCell ref="AA645:AA645"/>
    <mergeCell ref="AB645:AB645"/>
    <mergeCell ref="AC645:AC645"/>
    <mergeCell ref="AD645:AD645"/>
    <mergeCell ref="AE645:AE645"/>
    <mergeCell ref="AF645:AF645"/>
    <mergeCell ref="A646:A646"/>
    <mergeCell ref="B646:B646"/>
    <mergeCell ref="C646:C646"/>
    <mergeCell ref="F646:F646"/>
    <mergeCell ref="G646:G646"/>
    <mergeCell ref="H646:H646"/>
    <mergeCell ref="M646:M646"/>
    <mergeCell ref="N646:N646"/>
    <mergeCell ref="O646:O646"/>
    <mergeCell ref="P646:P646"/>
    <mergeCell ref="Q646:Q646"/>
    <mergeCell ref="R646:R646"/>
    <mergeCell ref="S646:S646"/>
    <mergeCell ref="X646:X646"/>
    <mergeCell ref="Y646:Y646"/>
    <mergeCell ref="Z646:Z646"/>
    <mergeCell ref="AA646:AA646"/>
    <mergeCell ref="AB646:AB646"/>
    <mergeCell ref="AC646:AC646"/>
    <mergeCell ref="AD646:AD646"/>
    <mergeCell ref="AE646:AE646"/>
    <mergeCell ref="AF646:AF646"/>
    <mergeCell ref="A647:A647"/>
    <mergeCell ref="B647:B647"/>
    <mergeCell ref="C647:C647"/>
    <mergeCell ref="F647:F647"/>
    <mergeCell ref="G647:G647"/>
    <mergeCell ref="H647:H647"/>
    <mergeCell ref="M647:M647"/>
    <mergeCell ref="N647:N647"/>
    <mergeCell ref="O647:O647"/>
    <mergeCell ref="P647:P647"/>
    <mergeCell ref="Q647:Q647"/>
    <mergeCell ref="R647:R647"/>
    <mergeCell ref="S647:S647"/>
    <mergeCell ref="X647:X647"/>
    <mergeCell ref="Y647:Y647"/>
    <mergeCell ref="Z647:Z647"/>
    <mergeCell ref="AA647:AA647"/>
    <mergeCell ref="AB647:AB647"/>
    <mergeCell ref="AC647:AC647"/>
    <mergeCell ref="AD647:AD647"/>
    <mergeCell ref="AE647:AE647"/>
    <mergeCell ref="AF647:AF647"/>
    <mergeCell ref="A648:A648"/>
    <mergeCell ref="B648:B648"/>
    <mergeCell ref="C648:C648"/>
    <mergeCell ref="F648:F648"/>
    <mergeCell ref="G648:G648"/>
    <mergeCell ref="H648:H648"/>
    <mergeCell ref="M648:M648"/>
    <mergeCell ref="N648:N648"/>
    <mergeCell ref="O648:O648"/>
    <mergeCell ref="P648:P648"/>
    <mergeCell ref="Q648:Q648"/>
    <mergeCell ref="R648:R648"/>
    <mergeCell ref="S648:S648"/>
    <mergeCell ref="X648:X648"/>
    <mergeCell ref="Y648:Y648"/>
    <mergeCell ref="Z648:Z648"/>
    <mergeCell ref="AA648:AA648"/>
    <mergeCell ref="AB648:AB648"/>
    <mergeCell ref="AC648:AC648"/>
    <mergeCell ref="AD648:AD648"/>
    <mergeCell ref="AE648:AE648"/>
    <mergeCell ref="AF648:AF648"/>
    <mergeCell ref="A649:A649"/>
    <mergeCell ref="B649:B649"/>
    <mergeCell ref="C649:C649"/>
    <mergeCell ref="F649:F649"/>
    <mergeCell ref="G649:G649"/>
    <mergeCell ref="H649:H649"/>
    <mergeCell ref="M649:M649"/>
    <mergeCell ref="N649:N649"/>
    <mergeCell ref="O649:O649"/>
    <mergeCell ref="P649:P649"/>
    <mergeCell ref="Q649:Q649"/>
    <mergeCell ref="R649:R649"/>
    <mergeCell ref="S649:S649"/>
    <mergeCell ref="X649:X649"/>
    <mergeCell ref="Y649:Y649"/>
    <mergeCell ref="Z649:Z649"/>
    <mergeCell ref="AA649:AA649"/>
    <mergeCell ref="AB649:AB649"/>
    <mergeCell ref="AC649:AC649"/>
    <mergeCell ref="AD649:AD649"/>
    <mergeCell ref="AE649:AE649"/>
    <mergeCell ref="AF649:AF649"/>
    <mergeCell ref="A650:A650"/>
    <mergeCell ref="B650:B650"/>
    <mergeCell ref="C650:C650"/>
    <mergeCell ref="F650:F650"/>
    <mergeCell ref="G650:G650"/>
    <mergeCell ref="H650:H650"/>
    <mergeCell ref="M650:M650"/>
    <mergeCell ref="N650:N650"/>
    <mergeCell ref="O650:O650"/>
    <mergeCell ref="P650:P650"/>
    <mergeCell ref="Q650:Q650"/>
    <mergeCell ref="R650:R650"/>
    <mergeCell ref="S650:S650"/>
    <mergeCell ref="X650:X650"/>
    <mergeCell ref="Y650:Y650"/>
    <mergeCell ref="Z650:Z650"/>
    <mergeCell ref="AA650:AA650"/>
    <mergeCell ref="AB650:AB650"/>
    <mergeCell ref="AC650:AC650"/>
    <mergeCell ref="AD650:AD650"/>
    <mergeCell ref="AE650:AE650"/>
    <mergeCell ref="AF650:AF650"/>
    <mergeCell ref="A651:A651"/>
    <mergeCell ref="B651:B651"/>
    <mergeCell ref="C651:C651"/>
    <mergeCell ref="F651:F651"/>
    <mergeCell ref="G651:G651"/>
    <mergeCell ref="H651:H651"/>
    <mergeCell ref="M651:M651"/>
    <mergeCell ref="N651:N651"/>
    <mergeCell ref="O651:O651"/>
    <mergeCell ref="P651:P651"/>
    <mergeCell ref="Q651:Q651"/>
    <mergeCell ref="R651:R651"/>
    <mergeCell ref="S651:S651"/>
    <mergeCell ref="X651:X651"/>
    <mergeCell ref="Y651:Y651"/>
    <mergeCell ref="Z651:Z651"/>
    <mergeCell ref="AA651:AA651"/>
    <mergeCell ref="AB651:AB651"/>
    <mergeCell ref="AC651:AC651"/>
    <mergeCell ref="AD651:AD651"/>
    <mergeCell ref="AE651:AE651"/>
    <mergeCell ref="AF651:AF651"/>
    <mergeCell ref="A652:A652"/>
    <mergeCell ref="B652:B652"/>
    <mergeCell ref="C652:C652"/>
    <mergeCell ref="F652:F652"/>
    <mergeCell ref="G652:G652"/>
    <mergeCell ref="H652:H652"/>
    <mergeCell ref="M652:M652"/>
    <mergeCell ref="N652:N652"/>
    <mergeCell ref="O652:O652"/>
    <mergeCell ref="P652:P652"/>
    <mergeCell ref="Q652:Q652"/>
    <mergeCell ref="R652:R652"/>
    <mergeCell ref="S652:S652"/>
    <mergeCell ref="X652:X652"/>
    <mergeCell ref="Y652:Y652"/>
    <mergeCell ref="Z652:Z652"/>
    <mergeCell ref="AA652:AA652"/>
    <mergeCell ref="AB652:AB652"/>
    <mergeCell ref="AC652:AC652"/>
    <mergeCell ref="AD652:AD652"/>
    <mergeCell ref="AE652:AE652"/>
    <mergeCell ref="AF652:AF652"/>
    <mergeCell ref="A653:A653"/>
    <mergeCell ref="B653:B653"/>
    <mergeCell ref="C653:C653"/>
    <mergeCell ref="F653:F653"/>
    <mergeCell ref="G653:G653"/>
    <mergeCell ref="H653:H653"/>
    <mergeCell ref="M653:M653"/>
    <mergeCell ref="N653:N653"/>
    <mergeCell ref="O653:O653"/>
    <mergeCell ref="P653:P653"/>
    <mergeCell ref="Q653:Q653"/>
    <mergeCell ref="R653:R653"/>
    <mergeCell ref="S653:S653"/>
    <mergeCell ref="X653:X653"/>
    <mergeCell ref="Y653:Y653"/>
    <mergeCell ref="Z653:Z653"/>
    <mergeCell ref="AA653:AA653"/>
    <mergeCell ref="AB653:AB653"/>
    <mergeCell ref="AC653:AC653"/>
    <mergeCell ref="AD653:AD653"/>
    <mergeCell ref="AE653:AE653"/>
    <mergeCell ref="AF653:AF653"/>
    <mergeCell ref="A654:A654"/>
    <mergeCell ref="B654:B654"/>
    <mergeCell ref="C654:C654"/>
    <mergeCell ref="F654:F654"/>
    <mergeCell ref="G654:G654"/>
    <mergeCell ref="H654:H654"/>
    <mergeCell ref="M654:M654"/>
    <mergeCell ref="N654:N654"/>
    <mergeCell ref="O654:O654"/>
    <mergeCell ref="P654:P654"/>
    <mergeCell ref="Q654:Q654"/>
    <mergeCell ref="R654:R654"/>
    <mergeCell ref="S654:S654"/>
    <mergeCell ref="X654:X654"/>
    <mergeCell ref="Y654:Y654"/>
    <mergeCell ref="Z654:Z654"/>
    <mergeCell ref="AA654:AA654"/>
    <mergeCell ref="AB654:AB654"/>
    <mergeCell ref="AC654:AC654"/>
    <mergeCell ref="AD654:AD654"/>
    <mergeCell ref="AE654:AE654"/>
    <mergeCell ref="AF654:AF654"/>
    <mergeCell ref="A655:A655"/>
    <mergeCell ref="B655:B655"/>
    <mergeCell ref="C655:C655"/>
    <mergeCell ref="F655:F655"/>
    <mergeCell ref="G655:G655"/>
    <mergeCell ref="H655:H655"/>
    <mergeCell ref="M655:M655"/>
    <mergeCell ref="N655:N655"/>
    <mergeCell ref="O655:O655"/>
    <mergeCell ref="P655:P655"/>
    <mergeCell ref="Q655:Q655"/>
    <mergeCell ref="R655:R655"/>
    <mergeCell ref="S655:S655"/>
    <mergeCell ref="X655:X655"/>
    <mergeCell ref="Y655:Y655"/>
    <mergeCell ref="Z655:Z655"/>
    <mergeCell ref="AA655:AA655"/>
    <mergeCell ref="AB655:AB655"/>
    <mergeCell ref="AC655:AC655"/>
    <mergeCell ref="AD655:AD655"/>
    <mergeCell ref="AE655:AE655"/>
    <mergeCell ref="AF655:AF655"/>
    <mergeCell ref="A656:A656"/>
    <mergeCell ref="B656:B656"/>
    <mergeCell ref="C656:C656"/>
    <mergeCell ref="F656:F656"/>
    <mergeCell ref="G656:G656"/>
    <mergeCell ref="H656:H656"/>
    <mergeCell ref="M656:M656"/>
    <mergeCell ref="N656:N656"/>
    <mergeCell ref="O656:O656"/>
    <mergeCell ref="P656:P656"/>
    <mergeCell ref="Q656:Q656"/>
    <mergeCell ref="R656:R656"/>
    <mergeCell ref="S656:S656"/>
    <mergeCell ref="X656:X656"/>
    <mergeCell ref="Y656:Y656"/>
    <mergeCell ref="Z656:Z656"/>
    <mergeCell ref="AA656:AA656"/>
    <mergeCell ref="AB656:AB656"/>
    <mergeCell ref="AC656:AC656"/>
    <mergeCell ref="AD656:AD656"/>
    <mergeCell ref="AE656:AE656"/>
    <mergeCell ref="AF656:AF656"/>
    <mergeCell ref="A657:A657"/>
    <mergeCell ref="B657:B657"/>
    <mergeCell ref="C657:C657"/>
    <mergeCell ref="F657:F657"/>
    <mergeCell ref="G657:G657"/>
    <mergeCell ref="H657:H657"/>
    <mergeCell ref="M657:M657"/>
    <mergeCell ref="N657:N657"/>
    <mergeCell ref="O657:O657"/>
    <mergeCell ref="P657:P657"/>
    <mergeCell ref="Q657:Q657"/>
    <mergeCell ref="R657:R657"/>
    <mergeCell ref="S657:S657"/>
    <mergeCell ref="X657:X657"/>
    <mergeCell ref="Y657:Y657"/>
    <mergeCell ref="Z657:Z657"/>
    <mergeCell ref="AA657:AA657"/>
    <mergeCell ref="AB657:AB657"/>
    <mergeCell ref="AC657:AC657"/>
    <mergeCell ref="AD657:AD657"/>
    <mergeCell ref="AE657:AE657"/>
    <mergeCell ref="AF657:AF657"/>
    <mergeCell ref="A658:A658"/>
    <mergeCell ref="B658:B658"/>
    <mergeCell ref="C658:C658"/>
    <mergeCell ref="F658:F658"/>
    <mergeCell ref="G658:G658"/>
    <mergeCell ref="H658:H658"/>
    <mergeCell ref="M658:M658"/>
    <mergeCell ref="N658:N658"/>
    <mergeCell ref="O658:O658"/>
    <mergeCell ref="P658:P658"/>
    <mergeCell ref="Q658:Q658"/>
    <mergeCell ref="R658:R658"/>
    <mergeCell ref="S658:S658"/>
    <mergeCell ref="X658:X658"/>
    <mergeCell ref="Y658:Y658"/>
    <mergeCell ref="Z658:Z658"/>
    <mergeCell ref="AA658:AA658"/>
    <mergeCell ref="AB658:AB658"/>
    <mergeCell ref="AC658:AC658"/>
    <mergeCell ref="AD658:AD658"/>
    <mergeCell ref="AE658:AE658"/>
    <mergeCell ref="AF658:AF658"/>
    <mergeCell ref="A659:A659"/>
    <mergeCell ref="B659:B659"/>
    <mergeCell ref="C659:C659"/>
    <mergeCell ref="F659:F659"/>
    <mergeCell ref="G659:G659"/>
    <mergeCell ref="H659:H659"/>
    <mergeCell ref="M659:M659"/>
    <mergeCell ref="N659:N659"/>
    <mergeCell ref="O659:O659"/>
    <mergeCell ref="P659:P659"/>
    <mergeCell ref="Q659:Q659"/>
    <mergeCell ref="R659:R659"/>
    <mergeCell ref="S659:S659"/>
    <mergeCell ref="X659:X659"/>
    <mergeCell ref="Y659:Y659"/>
    <mergeCell ref="Z659:Z659"/>
    <mergeCell ref="AA659:AA659"/>
    <mergeCell ref="AB659:AB659"/>
    <mergeCell ref="AC659:AC659"/>
    <mergeCell ref="AD659:AD659"/>
    <mergeCell ref="AE659:AE659"/>
    <mergeCell ref="AF659:AF659"/>
    <mergeCell ref="A660:A660"/>
    <mergeCell ref="B660:B660"/>
    <mergeCell ref="C660:C660"/>
    <mergeCell ref="F660:F660"/>
    <mergeCell ref="G660:G660"/>
    <mergeCell ref="H660:H660"/>
    <mergeCell ref="M660:M660"/>
    <mergeCell ref="N660:N660"/>
    <mergeCell ref="O660:O660"/>
    <mergeCell ref="P660:P660"/>
    <mergeCell ref="Q660:Q660"/>
    <mergeCell ref="R660:R660"/>
    <mergeCell ref="S660:S660"/>
    <mergeCell ref="X660:X660"/>
    <mergeCell ref="Y660:Y660"/>
    <mergeCell ref="Z660:Z660"/>
    <mergeCell ref="AA660:AA660"/>
    <mergeCell ref="AB660:AB660"/>
    <mergeCell ref="AC660:AC660"/>
    <mergeCell ref="AD660:AD660"/>
    <mergeCell ref="AE660:AE660"/>
    <mergeCell ref="AF660:AF660"/>
    <mergeCell ref="A661:A661"/>
    <mergeCell ref="B661:B661"/>
    <mergeCell ref="C661:C661"/>
    <mergeCell ref="F661:F661"/>
    <mergeCell ref="G661:G661"/>
    <mergeCell ref="H661:H661"/>
    <mergeCell ref="M661:M661"/>
    <mergeCell ref="N661:N661"/>
    <mergeCell ref="O661:O661"/>
    <mergeCell ref="P661:P661"/>
    <mergeCell ref="Q661:Q661"/>
    <mergeCell ref="R661:R661"/>
    <mergeCell ref="S661:S661"/>
    <mergeCell ref="X661:X661"/>
    <mergeCell ref="Y661:Y661"/>
    <mergeCell ref="Z661:Z661"/>
    <mergeCell ref="AA661:AA661"/>
    <mergeCell ref="AB661:AB661"/>
    <mergeCell ref="AC661:AC661"/>
    <mergeCell ref="AD661:AD661"/>
    <mergeCell ref="AE661:AE661"/>
    <mergeCell ref="AF661:AF661"/>
    <mergeCell ref="A662:A662"/>
    <mergeCell ref="B662:B662"/>
    <mergeCell ref="C662:C662"/>
    <mergeCell ref="F662:F662"/>
    <mergeCell ref="G662:G662"/>
    <mergeCell ref="H662:H662"/>
    <mergeCell ref="M662:M662"/>
    <mergeCell ref="N662:N662"/>
    <mergeCell ref="O662:O662"/>
    <mergeCell ref="P662:P662"/>
    <mergeCell ref="Q662:Q662"/>
    <mergeCell ref="R662:R662"/>
    <mergeCell ref="S662:S662"/>
    <mergeCell ref="X662:X662"/>
    <mergeCell ref="Y662:Y662"/>
    <mergeCell ref="Z662:Z662"/>
    <mergeCell ref="AA662:AA662"/>
    <mergeCell ref="AB662:AB662"/>
    <mergeCell ref="AC662:AC662"/>
    <mergeCell ref="AD662:AD662"/>
    <mergeCell ref="AE662:AE662"/>
    <mergeCell ref="AF662:AF662"/>
    <mergeCell ref="A663:A663"/>
    <mergeCell ref="B663:B663"/>
    <mergeCell ref="C663:C663"/>
    <mergeCell ref="F663:F663"/>
    <mergeCell ref="G663:G663"/>
    <mergeCell ref="H663:H663"/>
    <mergeCell ref="M663:M663"/>
    <mergeCell ref="N663:N663"/>
    <mergeCell ref="O663:O663"/>
    <mergeCell ref="P663:P663"/>
    <mergeCell ref="Q663:Q663"/>
    <mergeCell ref="R663:R663"/>
    <mergeCell ref="S663:S663"/>
    <mergeCell ref="X663:X663"/>
    <mergeCell ref="Y663:Y663"/>
    <mergeCell ref="Z663:Z663"/>
    <mergeCell ref="AA663:AA663"/>
    <mergeCell ref="AB663:AB663"/>
    <mergeCell ref="AC663:AC663"/>
    <mergeCell ref="AD663:AD663"/>
    <mergeCell ref="AE663:AE663"/>
    <mergeCell ref="AF663:AF663"/>
    <mergeCell ref="A664:A664"/>
    <mergeCell ref="B664:B664"/>
    <mergeCell ref="C664:C664"/>
    <mergeCell ref="F664:F664"/>
    <mergeCell ref="G664:G664"/>
    <mergeCell ref="H664:H664"/>
    <mergeCell ref="M664:M664"/>
    <mergeCell ref="N664:N664"/>
    <mergeCell ref="O664:O664"/>
    <mergeCell ref="P664:P664"/>
    <mergeCell ref="Q664:Q664"/>
    <mergeCell ref="R664:R664"/>
    <mergeCell ref="S664:S664"/>
    <mergeCell ref="X664:X664"/>
    <mergeCell ref="Y664:Y664"/>
    <mergeCell ref="Z664:Z664"/>
    <mergeCell ref="AA664:AA664"/>
    <mergeCell ref="AB664:AB664"/>
    <mergeCell ref="AC664:AC664"/>
    <mergeCell ref="AD664:AD664"/>
    <mergeCell ref="AE664:AE664"/>
    <mergeCell ref="AF664:AF664"/>
    <mergeCell ref="A665:A665"/>
    <mergeCell ref="B665:B665"/>
    <mergeCell ref="C665:C665"/>
    <mergeCell ref="F665:F665"/>
    <mergeCell ref="G665:G665"/>
    <mergeCell ref="H665:H665"/>
    <mergeCell ref="M665:M665"/>
    <mergeCell ref="N665:N665"/>
    <mergeCell ref="O665:O665"/>
    <mergeCell ref="P665:P665"/>
    <mergeCell ref="Q665:Q665"/>
    <mergeCell ref="R665:R665"/>
    <mergeCell ref="S665:S665"/>
    <mergeCell ref="X665:X665"/>
    <mergeCell ref="Y665:Y665"/>
    <mergeCell ref="Z665:Z665"/>
    <mergeCell ref="AA665:AA665"/>
    <mergeCell ref="AB665:AB665"/>
    <mergeCell ref="AC665:AC665"/>
    <mergeCell ref="AD665:AD665"/>
    <mergeCell ref="AE665:AE665"/>
    <mergeCell ref="AF665:AF665"/>
    <mergeCell ref="A666:A666"/>
    <mergeCell ref="B666:B666"/>
    <mergeCell ref="C666:C666"/>
    <mergeCell ref="F666:F666"/>
    <mergeCell ref="G666:G666"/>
    <mergeCell ref="H666:H666"/>
    <mergeCell ref="M666:M666"/>
    <mergeCell ref="N666:N666"/>
    <mergeCell ref="O666:O666"/>
    <mergeCell ref="P666:P666"/>
    <mergeCell ref="Q666:Q666"/>
    <mergeCell ref="R666:R666"/>
    <mergeCell ref="S666:S666"/>
    <mergeCell ref="X666:X666"/>
    <mergeCell ref="Y666:Y666"/>
    <mergeCell ref="Z666:Z666"/>
    <mergeCell ref="AA666:AA666"/>
    <mergeCell ref="AB666:AB666"/>
    <mergeCell ref="AC666:AC666"/>
    <mergeCell ref="AD666:AD666"/>
    <mergeCell ref="AE666:AE666"/>
    <mergeCell ref="AF666:AF666"/>
    <mergeCell ref="A667:A667"/>
    <mergeCell ref="B667:B667"/>
    <mergeCell ref="C667:C667"/>
    <mergeCell ref="F667:F667"/>
    <mergeCell ref="G667:G667"/>
    <mergeCell ref="H667:H667"/>
    <mergeCell ref="M667:M667"/>
    <mergeCell ref="N667:N667"/>
    <mergeCell ref="O667:O667"/>
    <mergeCell ref="P667:P667"/>
    <mergeCell ref="Q667:Q667"/>
    <mergeCell ref="R667:R667"/>
    <mergeCell ref="S667:S667"/>
    <mergeCell ref="X667:X667"/>
    <mergeCell ref="Y667:Y667"/>
    <mergeCell ref="Z667:Z667"/>
    <mergeCell ref="AA667:AA667"/>
    <mergeCell ref="AB667:AB667"/>
    <mergeCell ref="AC667:AC667"/>
    <mergeCell ref="AD667:AD667"/>
    <mergeCell ref="AE667:AE667"/>
    <mergeCell ref="AF667:AF667"/>
    <mergeCell ref="A668:A668"/>
    <mergeCell ref="B668:B668"/>
    <mergeCell ref="C668:C668"/>
    <mergeCell ref="F668:F668"/>
    <mergeCell ref="G668:G668"/>
    <mergeCell ref="H668:H668"/>
    <mergeCell ref="M668:M668"/>
    <mergeCell ref="N668:N668"/>
    <mergeCell ref="O668:O668"/>
    <mergeCell ref="P668:P668"/>
    <mergeCell ref="Q668:Q668"/>
    <mergeCell ref="R668:R668"/>
    <mergeCell ref="S668:S668"/>
    <mergeCell ref="X668:X668"/>
    <mergeCell ref="Y668:Y668"/>
    <mergeCell ref="Z668:Z668"/>
    <mergeCell ref="AA668:AA668"/>
    <mergeCell ref="AB668:AB668"/>
    <mergeCell ref="AC668:AC668"/>
    <mergeCell ref="AD668:AD668"/>
    <mergeCell ref="AE668:AE668"/>
    <mergeCell ref="AF668:AF668"/>
    <mergeCell ref="A669:A669"/>
    <mergeCell ref="B669:B669"/>
    <mergeCell ref="C669:C669"/>
    <mergeCell ref="F669:F669"/>
    <mergeCell ref="G669:G669"/>
    <mergeCell ref="H669:H669"/>
    <mergeCell ref="M669:M669"/>
    <mergeCell ref="N669:N669"/>
    <mergeCell ref="O669:O669"/>
    <mergeCell ref="P669:P669"/>
    <mergeCell ref="Q669:Q669"/>
    <mergeCell ref="R669:R669"/>
    <mergeCell ref="S669:S669"/>
    <mergeCell ref="X669:X669"/>
    <mergeCell ref="Y669:Y669"/>
    <mergeCell ref="Z669:Z669"/>
    <mergeCell ref="AA669:AA669"/>
    <mergeCell ref="AB669:AB669"/>
    <mergeCell ref="AC669:AC669"/>
    <mergeCell ref="AD669:AD669"/>
    <mergeCell ref="AE669:AE669"/>
    <mergeCell ref="AF669:AF669"/>
    <mergeCell ref="A670:A670"/>
    <mergeCell ref="B670:B670"/>
    <mergeCell ref="C670:C670"/>
    <mergeCell ref="F670:F670"/>
    <mergeCell ref="G670:G670"/>
    <mergeCell ref="H670:H670"/>
    <mergeCell ref="M670:M670"/>
    <mergeCell ref="N670:N670"/>
    <mergeCell ref="O670:O670"/>
    <mergeCell ref="P670:P670"/>
    <mergeCell ref="Q670:Q670"/>
    <mergeCell ref="R670:R670"/>
    <mergeCell ref="S670:S670"/>
    <mergeCell ref="X670:X670"/>
    <mergeCell ref="Y670:Y670"/>
    <mergeCell ref="Z670:Z670"/>
    <mergeCell ref="AA670:AA670"/>
    <mergeCell ref="AB670:AB670"/>
    <mergeCell ref="AC670:AC670"/>
    <mergeCell ref="AD670:AD670"/>
    <mergeCell ref="AE670:AE670"/>
    <mergeCell ref="AF670:AF670"/>
    <mergeCell ref="A671:A671"/>
    <mergeCell ref="B671:B671"/>
    <mergeCell ref="C671:C671"/>
    <mergeCell ref="F671:F671"/>
    <mergeCell ref="G671:G671"/>
    <mergeCell ref="H671:H671"/>
    <mergeCell ref="M671:M671"/>
    <mergeCell ref="N671:N671"/>
    <mergeCell ref="O671:O671"/>
    <mergeCell ref="P671:P671"/>
    <mergeCell ref="Q671:Q671"/>
    <mergeCell ref="R671:R671"/>
    <mergeCell ref="S671:S671"/>
    <mergeCell ref="X671:X671"/>
    <mergeCell ref="Y671:Y671"/>
    <mergeCell ref="Z671:Z671"/>
    <mergeCell ref="AA671:AA671"/>
    <mergeCell ref="AB671:AB671"/>
    <mergeCell ref="AC671:AC671"/>
    <mergeCell ref="AD671:AD671"/>
    <mergeCell ref="AE671:AE671"/>
    <mergeCell ref="AF671:AF671"/>
    <mergeCell ref="A672:A672"/>
    <mergeCell ref="B672:B672"/>
    <mergeCell ref="C672:C672"/>
    <mergeCell ref="F672:F672"/>
    <mergeCell ref="G672:G672"/>
    <mergeCell ref="H672:H672"/>
    <mergeCell ref="M672:M672"/>
    <mergeCell ref="N672:N672"/>
    <mergeCell ref="O672:O672"/>
    <mergeCell ref="P672:P672"/>
    <mergeCell ref="Q672:Q672"/>
    <mergeCell ref="R672:R672"/>
    <mergeCell ref="S672:S672"/>
    <mergeCell ref="X672:X672"/>
    <mergeCell ref="Y672:Y672"/>
    <mergeCell ref="Z672:Z672"/>
    <mergeCell ref="AA672:AA672"/>
    <mergeCell ref="AB672:AB672"/>
    <mergeCell ref="AC672:AC672"/>
    <mergeCell ref="AD672:AD672"/>
    <mergeCell ref="AE672:AE672"/>
    <mergeCell ref="AF672:AF672"/>
    <mergeCell ref="A673:A673"/>
    <mergeCell ref="B673:B673"/>
    <mergeCell ref="C673:C673"/>
    <mergeCell ref="F673:F673"/>
    <mergeCell ref="G673:G673"/>
    <mergeCell ref="H673:H673"/>
    <mergeCell ref="M673:M673"/>
    <mergeCell ref="N673:N673"/>
    <mergeCell ref="O673:O673"/>
    <mergeCell ref="P673:P673"/>
    <mergeCell ref="Q673:Q673"/>
    <mergeCell ref="R673:R673"/>
    <mergeCell ref="S673:S673"/>
    <mergeCell ref="X673:X673"/>
    <mergeCell ref="Y673:Y673"/>
    <mergeCell ref="Z673:Z673"/>
    <mergeCell ref="AA673:AA673"/>
    <mergeCell ref="AB673:AB673"/>
    <mergeCell ref="AC673:AC673"/>
    <mergeCell ref="AD673:AD673"/>
    <mergeCell ref="AE673:AE673"/>
    <mergeCell ref="AF673:AF673"/>
    <mergeCell ref="A674:A674"/>
    <mergeCell ref="B674:B674"/>
    <mergeCell ref="C674:C674"/>
    <mergeCell ref="F674:F674"/>
    <mergeCell ref="G674:G674"/>
    <mergeCell ref="H674:H674"/>
    <mergeCell ref="M674:M674"/>
    <mergeCell ref="N674:N674"/>
    <mergeCell ref="O674:O674"/>
    <mergeCell ref="P674:P674"/>
    <mergeCell ref="Q674:Q674"/>
    <mergeCell ref="R674:R674"/>
    <mergeCell ref="S674:S674"/>
    <mergeCell ref="X674:X674"/>
    <mergeCell ref="Y674:Y674"/>
    <mergeCell ref="Z674:Z674"/>
    <mergeCell ref="AA674:AA674"/>
    <mergeCell ref="AB674:AB674"/>
    <mergeCell ref="AC674:AC674"/>
    <mergeCell ref="AD674:AD674"/>
    <mergeCell ref="AE674:AE674"/>
    <mergeCell ref="AF674:AF674"/>
    <mergeCell ref="A675:A675"/>
    <mergeCell ref="B675:B675"/>
    <mergeCell ref="C675:C675"/>
    <mergeCell ref="F675:F675"/>
    <mergeCell ref="G675:G675"/>
    <mergeCell ref="H675:H675"/>
    <mergeCell ref="M675:M675"/>
    <mergeCell ref="N675:N675"/>
    <mergeCell ref="O675:O675"/>
    <mergeCell ref="P675:P675"/>
    <mergeCell ref="Q675:Q675"/>
    <mergeCell ref="R675:R675"/>
    <mergeCell ref="S675:S675"/>
    <mergeCell ref="X675:X675"/>
    <mergeCell ref="Y675:Y675"/>
    <mergeCell ref="Z675:Z675"/>
    <mergeCell ref="AA675:AA675"/>
    <mergeCell ref="AB675:AB675"/>
    <mergeCell ref="AC675:AC675"/>
    <mergeCell ref="AD675:AD675"/>
    <mergeCell ref="AE675:AE675"/>
    <mergeCell ref="AF675:AF675"/>
    <mergeCell ref="A676:A676"/>
    <mergeCell ref="B676:B676"/>
    <mergeCell ref="C676:C676"/>
    <mergeCell ref="F676:F676"/>
    <mergeCell ref="G676:G676"/>
    <mergeCell ref="H676:H676"/>
    <mergeCell ref="M676:M676"/>
    <mergeCell ref="N676:N676"/>
    <mergeCell ref="O676:O676"/>
    <mergeCell ref="P676:P676"/>
    <mergeCell ref="Q676:Q676"/>
    <mergeCell ref="R676:R676"/>
    <mergeCell ref="S676:S676"/>
    <mergeCell ref="X676:X676"/>
    <mergeCell ref="Y676:Y676"/>
    <mergeCell ref="Z676:Z676"/>
    <mergeCell ref="AA676:AA676"/>
    <mergeCell ref="AB676:AB676"/>
    <mergeCell ref="AC676:AC676"/>
    <mergeCell ref="AD676:AD676"/>
    <mergeCell ref="AE676:AE676"/>
    <mergeCell ref="AF676:AF676"/>
    <mergeCell ref="A677:A677"/>
    <mergeCell ref="B677:B677"/>
    <mergeCell ref="C677:C677"/>
    <mergeCell ref="F677:F677"/>
    <mergeCell ref="G677:G677"/>
    <mergeCell ref="H677:H677"/>
    <mergeCell ref="M677:M677"/>
    <mergeCell ref="N677:N677"/>
    <mergeCell ref="O677:O677"/>
    <mergeCell ref="P677:P677"/>
    <mergeCell ref="Q677:Q677"/>
    <mergeCell ref="R677:R677"/>
    <mergeCell ref="S677:S677"/>
    <mergeCell ref="X677:X677"/>
    <mergeCell ref="Y677:Y677"/>
    <mergeCell ref="Z677:Z677"/>
    <mergeCell ref="AA677:AA677"/>
    <mergeCell ref="AB677:AB677"/>
    <mergeCell ref="AC677:AC677"/>
    <mergeCell ref="AD677:AD677"/>
    <mergeCell ref="AE677:AE677"/>
    <mergeCell ref="AF677:AF677"/>
    <mergeCell ref="A678:A678"/>
    <mergeCell ref="B678:B678"/>
    <mergeCell ref="C678:C678"/>
    <mergeCell ref="F678:F678"/>
    <mergeCell ref="G678:G678"/>
    <mergeCell ref="H678:H678"/>
    <mergeCell ref="M678:M678"/>
    <mergeCell ref="N678:N678"/>
    <mergeCell ref="O678:O678"/>
    <mergeCell ref="P678:P678"/>
    <mergeCell ref="Q678:Q678"/>
    <mergeCell ref="R678:R678"/>
    <mergeCell ref="S678:S678"/>
    <mergeCell ref="X678:X678"/>
    <mergeCell ref="Y678:Y678"/>
    <mergeCell ref="Z678:Z678"/>
    <mergeCell ref="AA678:AA678"/>
    <mergeCell ref="AB678:AB678"/>
    <mergeCell ref="AC678:AC678"/>
    <mergeCell ref="AD678:AD678"/>
    <mergeCell ref="AE678:AE678"/>
    <mergeCell ref="AF678:AF678"/>
    <mergeCell ref="A679:A679"/>
    <mergeCell ref="B679:B679"/>
    <mergeCell ref="C679:C679"/>
    <mergeCell ref="F679:F679"/>
    <mergeCell ref="G679:G679"/>
    <mergeCell ref="H679:H679"/>
    <mergeCell ref="M679:M679"/>
    <mergeCell ref="N679:N679"/>
    <mergeCell ref="O679:O679"/>
    <mergeCell ref="P679:P679"/>
    <mergeCell ref="Q679:Q679"/>
    <mergeCell ref="R679:R679"/>
    <mergeCell ref="S679:S679"/>
    <mergeCell ref="X679:X679"/>
    <mergeCell ref="Y679:Y679"/>
    <mergeCell ref="Z679:Z679"/>
    <mergeCell ref="AA679:AA679"/>
    <mergeCell ref="AB679:AB679"/>
    <mergeCell ref="AC679:AC679"/>
    <mergeCell ref="AD679:AD679"/>
    <mergeCell ref="AE679:AE679"/>
    <mergeCell ref="AF679:AF679"/>
    <mergeCell ref="A680:A680"/>
    <mergeCell ref="B680:B680"/>
    <mergeCell ref="C680:C680"/>
    <mergeCell ref="F680:F680"/>
    <mergeCell ref="G680:G680"/>
    <mergeCell ref="H680:H680"/>
    <mergeCell ref="M680:M680"/>
    <mergeCell ref="N680:N680"/>
    <mergeCell ref="O680:O680"/>
    <mergeCell ref="P680:P680"/>
    <mergeCell ref="Q680:Q680"/>
    <mergeCell ref="R680:R680"/>
    <mergeCell ref="S680:S680"/>
    <mergeCell ref="X680:X680"/>
    <mergeCell ref="Y680:Y680"/>
    <mergeCell ref="Z680:Z680"/>
    <mergeCell ref="AA680:AA680"/>
    <mergeCell ref="AB680:AB680"/>
    <mergeCell ref="AC680:AC680"/>
    <mergeCell ref="AD680:AD680"/>
    <mergeCell ref="AE680:AE680"/>
    <mergeCell ref="AF680:AF680"/>
    <mergeCell ref="A681:A681"/>
    <mergeCell ref="B681:B681"/>
    <mergeCell ref="C681:C681"/>
    <mergeCell ref="F681:F681"/>
    <mergeCell ref="G681:G681"/>
    <mergeCell ref="H681:H681"/>
    <mergeCell ref="M681:M681"/>
    <mergeCell ref="N681:N681"/>
    <mergeCell ref="O681:O681"/>
    <mergeCell ref="P681:P681"/>
    <mergeCell ref="Q681:Q681"/>
    <mergeCell ref="R681:R681"/>
    <mergeCell ref="S681:S681"/>
    <mergeCell ref="X681:X681"/>
    <mergeCell ref="Y681:Y681"/>
    <mergeCell ref="Z681:Z681"/>
    <mergeCell ref="AA681:AA681"/>
    <mergeCell ref="AB681:AB681"/>
    <mergeCell ref="AC681:AC681"/>
    <mergeCell ref="AD681:AD681"/>
    <mergeCell ref="AE681:AE681"/>
    <mergeCell ref="AF681:AF681"/>
    <mergeCell ref="A682:A682"/>
    <mergeCell ref="B682:B682"/>
    <mergeCell ref="C682:C682"/>
    <mergeCell ref="F682:F682"/>
    <mergeCell ref="G682:G682"/>
    <mergeCell ref="H682:H682"/>
    <mergeCell ref="M682:M682"/>
    <mergeCell ref="N682:N682"/>
    <mergeCell ref="O682:O682"/>
    <mergeCell ref="P682:P682"/>
    <mergeCell ref="Q682:Q682"/>
    <mergeCell ref="R682:R682"/>
    <mergeCell ref="S682:S682"/>
    <mergeCell ref="X682:X682"/>
    <mergeCell ref="Y682:Y682"/>
    <mergeCell ref="Z682:Z682"/>
    <mergeCell ref="AA682:AA682"/>
    <mergeCell ref="AB682:AB682"/>
    <mergeCell ref="AC682:AC682"/>
    <mergeCell ref="AD682:AD682"/>
    <mergeCell ref="AE682:AE682"/>
    <mergeCell ref="AF682:AF682"/>
    <mergeCell ref="A683:A683"/>
    <mergeCell ref="B683:B683"/>
    <mergeCell ref="C683:C683"/>
    <mergeCell ref="F683:F683"/>
    <mergeCell ref="G683:G683"/>
    <mergeCell ref="H683:H683"/>
    <mergeCell ref="M683:M683"/>
    <mergeCell ref="N683:N683"/>
    <mergeCell ref="O683:O683"/>
    <mergeCell ref="P683:P683"/>
    <mergeCell ref="Q683:Q683"/>
    <mergeCell ref="R683:R683"/>
    <mergeCell ref="S683:S683"/>
    <mergeCell ref="X683:X683"/>
    <mergeCell ref="Y683:Y683"/>
    <mergeCell ref="Z683:Z683"/>
    <mergeCell ref="AA683:AA683"/>
    <mergeCell ref="AB683:AB683"/>
    <mergeCell ref="AC683:AC683"/>
    <mergeCell ref="AD683:AD683"/>
    <mergeCell ref="AE683:AE683"/>
    <mergeCell ref="AF683:AF683"/>
    <mergeCell ref="A684:A684"/>
    <mergeCell ref="B684:B684"/>
    <mergeCell ref="C684:C684"/>
    <mergeCell ref="F684:F684"/>
    <mergeCell ref="G684:G684"/>
    <mergeCell ref="H684:H684"/>
    <mergeCell ref="M684:M684"/>
    <mergeCell ref="N684:N684"/>
    <mergeCell ref="O684:O684"/>
    <mergeCell ref="P684:P684"/>
    <mergeCell ref="Q684:Q684"/>
    <mergeCell ref="R684:R684"/>
    <mergeCell ref="S684:S684"/>
    <mergeCell ref="X684:X684"/>
    <mergeCell ref="Y684:Y684"/>
    <mergeCell ref="Z684:Z684"/>
    <mergeCell ref="AA684:AA684"/>
    <mergeCell ref="AB684:AB684"/>
    <mergeCell ref="AC684:AC684"/>
    <mergeCell ref="AD684:AD684"/>
    <mergeCell ref="AE684:AE684"/>
    <mergeCell ref="AF684:AF684"/>
    <mergeCell ref="A685:A685"/>
    <mergeCell ref="B685:B685"/>
    <mergeCell ref="C685:C685"/>
    <mergeCell ref="F685:F685"/>
    <mergeCell ref="G685:G685"/>
    <mergeCell ref="H685:H685"/>
    <mergeCell ref="M685:M685"/>
    <mergeCell ref="N685:N685"/>
    <mergeCell ref="O685:O685"/>
    <mergeCell ref="P685:P685"/>
    <mergeCell ref="Q685:Q685"/>
    <mergeCell ref="R685:R685"/>
    <mergeCell ref="S685:S685"/>
    <mergeCell ref="X685:X685"/>
    <mergeCell ref="Y685:Y685"/>
    <mergeCell ref="Z685:Z685"/>
    <mergeCell ref="AA685:AA685"/>
    <mergeCell ref="AB685:AB685"/>
    <mergeCell ref="AC685:AC685"/>
    <mergeCell ref="AD685:AD685"/>
    <mergeCell ref="AE685:AE685"/>
    <mergeCell ref="AF685:AF685"/>
    <mergeCell ref="A686:A686"/>
    <mergeCell ref="B686:B686"/>
    <mergeCell ref="C686:C686"/>
    <mergeCell ref="F686:F686"/>
    <mergeCell ref="G686:G686"/>
    <mergeCell ref="H686:H686"/>
    <mergeCell ref="M686:M686"/>
    <mergeCell ref="N686:N686"/>
    <mergeCell ref="O686:O686"/>
    <mergeCell ref="P686:P686"/>
    <mergeCell ref="Q686:Q686"/>
    <mergeCell ref="R686:R686"/>
    <mergeCell ref="S686:S686"/>
    <mergeCell ref="X686:X686"/>
    <mergeCell ref="Y686:Y686"/>
    <mergeCell ref="Z686:Z686"/>
    <mergeCell ref="AA686:AA686"/>
    <mergeCell ref="AB686:AB686"/>
    <mergeCell ref="AC686:AC686"/>
    <mergeCell ref="AD686:AD686"/>
    <mergeCell ref="AE686:AE686"/>
    <mergeCell ref="AF686:AF686"/>
    <mergeCell ref="A687:A687"/>
    <mergeCell ref="B687:B687"/>
    <mergeCell ref="C687:C687"/>
    <mergeCell ref="F687:F687"/>
    <mergeCell ref="G687:G687"/>
    <mergeCell ref="H687:H687"/>
    <mergeCell ref="M687:M687"/>
    <mergeCell ref="N687:N687"/>
    <mergeCell ref="O687:O687"/>
    <mergeCell ref="P687:P687"/>
    <mergeCell ref="Q687:Q687"/>
    <mergeCell ref="R687:R687"/>
    <mergeCell ref="S687:S687"/>
    <mergeCell ref="X687:X687"/>
    <mergeCell ref="Y687:Y687"/>
    <mergeCell ref="Z687:Z687"/>
    <mergeCell ref="AA687:AA687"/>
    <mergeCell ref="AB687:AB687"/>
    <mergeCell ref="AC687:AC687"/>
    <mergeCell ref="AD687:AD687"/>
    <mergeCell ref="AE687:AE687"/>
    <mergeCell ref="AF687:AF687"/>
    <mergeCell ref="A688:A688"/>
    <mergeCell ref="B688:B688"/>
    <mergeCell ref="C688:C688"/>
    <mergeCell ref="F688:F688"/>
    <mergeCell ref="G688:G688"/>
    <mergeCell ref="H688:H688"/>
    <mergeCell ref="M688:M688"/>
    <mergeCell ref="N688:N688"/>
    <mergeCell ref="O688:O688"/>
    <mergeCell ref="P688:P688"/>
    <mergeCell ref="Q688:Q688"/>
    <mergeCell ref="R688:R688"/>
    <mergeCell ref="S688:S688"/>
    <mergeCell ref="X688:X688"/>
    <mergeCell ref="Y688:Y688"/>
    <mergeCell ref="Z688:Z688"/>
    <mergeCell ref="AA688:AA688"/>
    <mergeCell ref="AB688:AB688"/>
    <mergeCell ref="AC688:AC688"/>
    <mergeCell ref="AD688:AD688"/>
    <mergeCell ref="AE688:AE688"/>
    <mergeCell ref="AF688:AF688"/>
    <mergeCell ref="A689:A689"/>
    <mergeCell ref="B689:B689"/>
    <mergeCell ref="C689:C689"/>
    <mergeCell ref="F689:F689"/>
    <mergeCell ref="G689:G689"/>
    <mergeCell ref="H689:H689"/>
    <mergeCell ref="M689:M689"/>
    <mergeCell ref="N689:N689"/>
    <mergeCell ref="O689:O689"/>
    <mergeCell ref="P689:P689"/>
    <mergeCell ref="Q689:Q689"/>
    <mergeCell ref="R689:R689"/>
    <mergeCell ref="S689:S689"/>
    <mergeCell ref="X689:X689"/>
    <mergeCell ref="Y689:Y689"/>
    <mergeCell ref="Z689:Z689"/>
    <mergeCell ref="AA689:AA689"/>
    <mergeCell ref="AB689:AB689"/>
    <mergeCell ref="AC689:AC689"/>
    <mergeCell ref="AD689:AD689"/>
    <mergeCell ref="AE689:AE689"/>
    <mergeCell ref="AF689:AF689"/>
    <mergeCell ref="A690:A690"/>
    <mergeCell ref="B690:B690"/>
    <mergeCell ref="C690:C690"/>
    <mergeCell ref="F690:F690"/>
    <mergeCell ref="G690:G690"/>
    <mergeCell ref="H690:H690"/>
    <mergeCell ref="M690:M690"/>
    <mergeCell ref="N690:N690"/>
    <mergeCell ref="O690:O690"/>
    <mergeCell ref="P690:P690"/>
    <mergeCell ref="Q690:Q690"/>
    <mergeCell ref="R690:R690"/>
    <mergeCell ref="S690:S690"/>
    <mergeCell ref="X690:X690"/>
    <mergeCell ref="Y690:Y690"/>
    <mergeCell ref="Z690:Z690"/>
    <mergeCell ref="AA690:AA690"/>
    <mergeCell ref="AB690:AB690"/>
    <mergeCell ref="AC690:AC690"/>
    <mergeCell ref="AD690:AD690"/>
    <mergeCell ref="AE690:AE690"/>
    <mergeCell ref="AF690:AF690"/>
    <mergeCell ref="A691:A691"/>
    <mergeCell ref="B691:B691"/>
    <mergeCell ref="C691:C691"/>
    <mergeCell ref="F691:F691"/>
    <mergeCell ref="G691:G691"/>
    <mergeCell ref="H691:H691"/>
    <mergeCell ref="M691:M691"/>
    <mergeCell ref="N691:N691"/>
    <mergeCell ref="O691:O691"/>
    <mergeCell ref="P691:P691"/>
    <mergeCell ref="Q691:Q691"/>
    <mergeCell ref="R691:R691"/>
    <mergeCell ref="S691:S691"/>
    <mergeCell ref="X691:X691"/>
    <mergeCell ref="Y691:Y691"/>
    <mergeCell ref="Z691:Z691"/>
    <mergeCell ref="AA691:AA691"/>
    <mergeCell ref="AB691:AB691"/>
    <mergeCell ref="AC691:AC691"/>
    <mergeCell ref="AD691:AD691"/>
    <mergeCell ref="AE691:AE691"/>
    <mergeCell ref="AF691:AF691"/>
    <mergeCell ref="A692:A692"/>
    <mergeCell ref="B692:B692"/>
    <mergeCell ref="C692:C692"/>
    <mergeCell ref="F692:F692"/>
    <mergeCell ref="G692:G692"/>
    <mergeCell ref="H692:H692"/>
    <mergeCell ref="M692:M692"/>
    <mergeCell ref="N692:N692"/>
    <mergeCell ref="O692:O692"/>
    <mergeCell ref="P692:P692"/>
    <mergeCell ref="Q692:Q692"/>
    <mergeCell ref="R692:R692"/>
    <mergeCell ref="S692:S692"/>
    <mergeCell ref="X692:X692"/>
    <mergeCell ref="Y692:Y692"/>
    <mergeCell ref="Z692:Z692"/>
    <mergeCell ref="AA692:AA692"/>
    <mergeCell ref="AB692:AB692"/>
    <mergeCell ref="AC692:AC692"/>
    <mergeCell ref="AD692:AD692"/>
    <mergeCell ref="AE692:AE692"/>
    <mergeCell ref="AF692:AF692"/>
    <mergeCell ref="A693:A693"/>
    <mergeCell ref="B693:B693"/>
    <mergeCell ref="C693:C693"/>
    <mergeCell ref="F693:F693"/>
    <mergeCell ref="G693:G693"/>
    <mergeCell ref="H693:H693"/>
    <mergeCell ref="M693:M693"/>
    <mergeCell ref="N693:N693"/>
    <mergeCell ref="O693:O693"/>
    <mergeCell ref="P693:P693"/>
    <mergeCell ref="Q693:Q693"/>
    <mergeCell ref="R693:R693"/>
    <mergeCell ref="S693:S693"/>
    <mergeCell ref="X693:X693"/>
    <mergeCell ref="Y693:Y693"/>
    <mergeCell ref="Z693:Z693"/>
    <mergeCell ref="AA693:AA693"/>
    <mergeCell ref="AB693:AB693"/>
    <mergeCell ref="AC693:AC693"/>
    <mergeCell ref="AD693:AD693"/>
    <mergeCell ref="AE693:AE693"/>
    <mergeCell ref="AF693:AF693"/>
    <mergeCell ref="A694:A694"/>
    <mergeCell ref="B694:B694"/>
    <mergeCell ref="C694:C694"/>
    <mergeCell ref="F694:F694"/>
    <mergeCell ref="G694:G694"/>
    <mergeCell ref="H694:H694"/>
    <mergeCell ref="M694:M694"/>
    <mergeCell ref="N694:N694"/>
    <mergeCell ref="O694:O694"/>
    <mergeCell ref="P694:P694"/>
    <mergeCell ref="Q694:Q694"/>
    <mergeCell ref="R694:R694"/>
    <mergeCell ref="S694:S694"/>
    <mergeCell ref="X694:X694"/>
    <mergeCell ref="Y694:Y694"/>
    <mergeCell ref="Z694:Z694"/>
    <mergeCell ref="AA694:AA694"/>
    <mergeCell ref="AB694:AB694"/>
    <mergeCell ref="AC694:AC694"/>
    <mergeCell ref="AD694:AD694"/>
    <mergeCell ref="AE694:AE694"/>
    <mergeCell ref="AF694:AF694"/>
    <mergeCell ref="A695:A695"/>
    <mergeCell ref="B695:B695"/>
    <mergeCell ref="C695:C695"/>
    <mergeCell ref="F695:F695"/>
    <mergeCell ref="G695:G695"/>
    <mergeCell ref="H695:H695"/>
    <mergeCell ref="M695:M695"/>
    <mergeCell ref="N695:N695"/>
    <mergeCell ref="O695:O695"/>
    <mergeCell ref="P695:P695"/>
    <mergeCell ref="Q695:Q695"/>
    <mergeCell ref="R695:R695"/>
    <mergeCell ref="S695:S695"/>
    <mergeCell ref="X695:X695"/>
    <mergeCell ref="Y695:Y695"/>
    <mergeCell ref="Z695:Z695"/>
    <mergeCell ref="AA695:AA695"/>
    <mergeCell ref="AB695:AB695"/>
    <mergeCell ref="AC695:AC695"/>
    <mergeCell ref="AD695:AD695"/>
    <mergeCell ref="AE695:AE695"/>
    <mergeCell ref="AF695:AF695"/>
    <mergeCell ref="A696:A696"/>
    <mergeCell ref="B696:B696"/>
    <mergeCell ref="C696:C696"/>
    <mergeCell ref="F696:F696"/>
    <mergeCell ref="G696:G696"/>
    <mergeCell ref="H696:H696"/>
    <mergeCell ref="M696:M696"/>
    <mergeCell ref="N696:N696"/>
    <mergeCell ref="O696:O696"/>
    <mergeCell ref="P696:P696"/>
    <mergeCell ref="Q696:Q696"/>
    <mergeCell ref="R696:R696"/>
    <mergeCell ref="S696:S696"/>
    <mergeCell ref="X696:X696"/>
    <mergeCell ref="Y696:Y696"/>
    <mergeCell ref="Z696:Z696"/>
    <mergeCell ref="AA696:AA696"/>
    <mergeCell ref="AB696:AB696"/>
    <mergeCell ref="AC696:AC696"/>
    <mergeCell ref="AD696:AD696"/>
    <mergeCell ref="AE696:AE696"/>
    <mergeCell ref="AF696:AF696"/>
    <mergeCell ref="A697:A697"/>
    <mergeCell ref="B697:B697"/>
    <mergeCell ref="C697:C697"/>
    <mergeCell ref="F697:F697"/>
    <mergeCell ref="G697:G697"/>
    <mergeCell ref="H697:H697"/>
    <mergeCell ref="M697:M697"/>
    <mergeCell ref="N697:N697"/>
    <mergeCell ref="O697:O697"/>
    <mergeCell ref="P697:P697"/>
    <mergeCell ref="Q697:Q697"/>
    <mergeCell ref="R697:R697"/>
    <mergeCell ref="S697:S697"/>
    <mergeCell ref="X697:X697"/>
    <mergeCell ref="Y697:Y697"/>
    <mergeCell ref="Z697:Z697"/>
    <mergeCell ref="AA697:AA697"/>
    <mergeCell ref="AB697:AB697"/>
    <mergeCell ref="AC697:AC697"/>
    <mergeCell ref="AD697:AD697"/>
    <mergeCell ref="AE697:AE697"/>
    <mergeCell ref="AF697:AF697"/>
    <mergeCell ref="A698:A698"/>
    <mergeCell ref="B698:B698"/>
    <mergeCell ref="C698:C698"/>
    <mergeCell ref="F698:F698"/>
    <mergeCell ref="G698:G698"/>
    <mergeCell ref="H698:H698"/>
    <mergeCell ref="M698:M698"/>
    <mergeCell ref="N698:N698"/>
    <mergeCell ref="O698:O698"/>
    <mergeCell ref="P698:P698"/>
    <mergeCell ref="Q698:Q698"/>
    <mergeCell ref="R698:R698"/>
    <mergeCell ref="S698:S698"/>
    <mergeCell ref="X698:X698"/>
    <mergeCell ref="Y698:Y698"/>
    <mergeCell ref="Z698:Z698"/>
    <mergeCell ref="AA698:AA698"/>
    <mergeCell ref="AB698:AB698"/>
    <mergeCell ref="AC698:AC698"/>
    <mergeCell ref="AD698:AD698"/>
    <mergeCell ref="AE698:AE698"/>
    <mergeCell ref="AF698:AF698"/>
    <mergeCell ref="A699:A699"/>
    <mergeCell ref="B699:B699"/>
    <mergeCell ref="C699:C699"/>
    <mergeCell ref="F699:F699"/>
    <mergeCell ref="G699:G699"/>
    <mergeCell ref="H699:H699"/>
    <mergeCell ref="M699:M699"/>
    <mergeCell ref="N699:N699"/>
    <mergeCell ref="O699:O699"/>
    <mergeCell ref="P699:P699"/>
    <mergeCell ref="Q699:Q699"/>
    <mergeCell ref="R699:R699"/>
    <mergeCell ref="S699:S699"/>
    <mergeCell ref="X699:X699"/>
    <mergeCell ref="Y699:Y699"/>
    <mergeCell ref="Z699:Z699"/>
    <mergeCell ref="AA699:AA699"/>
    <mergeCell ref="AB699:AB699"/>
    <mergeCell ref="AC699:AC699"/>
    <mergeCell ref="AD699:AD699"/>
    <mergeCell ref="AE699:AE699"/>
    <mergeCell ref="AF699:AF699"/>
    <mergeCell ref="A700:A700"/>
    <mergeCell ref="B700:B700"/>
    <mergeCell ref="C700:C700"/>
    <mergeCell ref="F700:F700"/>
    <mergeCell ref="G700:G700"/>
    <mergeCell ref="H700:H700"/>
    <mergeCell ref="M700:M700"/>
    <mergeCell ref="N700:N700"/>
    <mergeCell ref="O700:O700"/>
    <mergeCell ref="P700:P700"/>
    <mergeCell ref="Q700:Q700"/>
    <mergeCell ref="R700:R700"/>
    <mergeCell ref="S700:S700"/>
    <mergeCell ref="X700:X700"/>
    <mergeCell ref="Y700:Y700"/>
    <mergeCell ref="Z700:Z700"/>
    <mergeCell ref="AA700:AA700"/>
    <mergeCell ref="AB700:AB700"/>
    <mergeCell ref="AC700:AC700"/>
    <mergeCell ref="AD700:AD700"/>
    <mergeCell ref="AE700:AE700"/>
    <mergeCell ref="AF700:AF700"/>
    <mergeCell ref="A701:A701"/>
    <mergeCell ref="B701:B701"/>
    <mergeCell ref="C701:C701"/>
    <mergeCell ref="F701:F701"/>
    <mergeCell ref="G701:G701"/>
    <mergeCell ref="H701:H701"/>
    <mergeCell ref="M701:M701"/>
    <mergeCell ref="N701:N701"/>
    <mergeCell ref="O701:O701"/>
    <mergeCell ref="P701:P701"/>
    <mergeCell ref="Q701:Q701"/>
    <mergeCell ref="R701:R701"/>
    <mergeCell ref="S701:S701"/>
    <mergeCell ref="X701:X701"/>
    <mergeCell ref="Y701:Y701"/>
    <mergeCell ref="Z701:Z701"/>
    <mergeCell ref="AA701:AA701"/>
    <mergeCell ref="AB701:AB701"/>
    <mergeCell ref="AC701:AC701"/>
    <mergeCell ref="AD701:AD701"/>
    <mergeCell ref="AE701:AE701"/>
    <mergeCell ref="AF701:AF701"/>
    <mergeCell ref="A702:A702"/>
    <mergeCell ref="B702:B702"/>
    <mergeCell ref="C702:C702"/>
    <mergeCell ref="F702:F702"/>
    <mergeCell ref="G702:G702"/>
    <mergeCell ref="H702:H702"/>
    <mergeCell ref="M702:M702"/>
    <mergeCell ref="N702:N702"/>
    <mergeCell ref="O702:O702"/>
    <mergeCell ref="P702:P702"/>
    <mergeCell ref="Q702:Q702"/>
    <mergeCell ref="R702:R702"/>
    <mergeCell ref="S702:S702"/>
    <mergeCell ref="X702:X702"/>
    <mergeCell ref="Y702:Y702"/>
    <mergeCell ref="Z702:Z702"/>
    <mergeCell ref="AA702:AA702"/>
    <mergeCell ref="AB702:AB702"/>
    <mergeCell ref="AC702:AC702"/>
    <mergeCell ref="AD702:AD702"/>
    <mergeCell ref="AE702:AE702"/>
    <mergeCell ref="AF702:AF702"/>
    <mergeCell ref="A703:A703"/>
    <mergeCell ref="B703:B703"/>
    <mergeCell ref="C703:C703"/>
    <mergeCell ref="F703:F703"/>
    <mergeCell ref="G703:G703"/>
    <mergeCell ref="H703:H703"/>
    <mergeCell ref="M703:M703"/>
    <mergeCell ref="N703:N703"/>
    <mergeCell ref="O703:O703"/>
    <mergeCell ref="P703:P703"/>
    <mergeCell ref="Q703:Q703"/>
    <mergeCell ref="R703:R703"/>
    <mergeCell ref="S703:S703"/>
    <mergeCell ref="X703:X703"/>
    <mergeCell ref="Y703:Y703"/>
    <mergeCell ref="Z703:Z703"/>
    <mergeCell ref="AA703:AA703"/>
    <mergeCell ref="AB703:AB703"/>
    <mergeCell ref="AC703:AC703"/>
    <mergeCell ref="AD703:AD703"/>
    <mergeCell ref="AE703:AE703"/>
    <mergeCell ref="AF703:AF703"/>
    <mergeCell ref="A704:A704"/>
    <mergeCell ref="B704:B704"/>
    <mergeCell ref="C704:C704"/>
    <mergeCell ref="F704:F704"/>
    <mergeCell ref="G704:G704"/>
    <mergeCell ref="H704:H704"/>
    <mergeCell ref="M704:M704"/>
    <mergeCell ref="N704:N704"/>
    <mergeCell ref="O704:O704"/>
    <mergeCell ref="P704:P704"/>
    <mergeCell ref="Q704:Q704"/>
    <mergeCell ref="R704:R704"/>
    <mergeCell ref="S704:S704"/>
    <mergeCell ref="X704:X704"/>
    <mergeCell ref="Y704:Y704"/>
    <mergeCell ref="Z704:Z704"/>
    <mergeCell ref="AA704:AA704"/>
    <mergeCell ref="AB704:AB704"/>
    <mergeCell ref="AC704:AC704"/>
    <mergeCell ref="AD704:AD704"/>
    <mergeCell ref="AE704:AE704"/>
    <mergeCell ref="AF704:AF704"/>
    <mergeCell ref="A705:A705"/>
    <mergeCell ref="B705:B705"/>
    <mergeCell ref="C705:C705"/>
    <mergeCell ref="F705:F705"/>
    <mergeCell ref="G705:G705"/>
    <mergeCell ref="H705:H705"/>
    <mergeCell ref="M705:M705"/>
    <mergeCell ref="N705:N705"/>
    <mergeCell ref="O705:O705"/>
    <mergeCell ref="P705:P705"/>
    <mergeCell ref="Q705:Q705"/>
    <mergeCell ref="R705:R705"/>
    <mergeCell ref="S705:S705"/>
    <mergeCell ref="X705:X705"/>
    <mergeCell ref="Y705:Y705"/>
    <mergeCell ref="Z705:Z705"/>
    <mergeCell ref="AA705:AA705"/>
    <mergeCell ref="AB705:AB705"/>
    <mergeCell ref="AC705:AC705"/>
    <mergeCell ref="AD705:AD705"/>
    <mergeCell ref="AE705:AE705"/>
    <mergeCell ref="AF705:AF705"/>
    <mergeCell ref="A706:A706"/>
    <mergeCell ref="B706:B706"/>
    <mergeCell ref="C706:C706"/>
    <mergeCell ref="F706:F706"/>
    <mergeCell ref="G706:G706"/>
    <mergeCell ref="H706:H706"/>
    <mergeCell ref="M706:M706"/>
    <mergeCell ref="N706:N706"/>
    <mergeCell ref="O706:O706"/>
    <mergeCell ref="P706:P706"/>
    <mergeCell ref="Q706:Q706"/>
    <mergeCell ref="R706:R706"/>
    <mergeCell ref="S706:S706"/>
    <mergeCell ref="X706:X706"/>
    <mergeCell ref="Y706:Y706"/>
    <mergeCell ref="Z706:Z706"/>
    <mergeCell ref="AA706:AA706"/>
    <mergeCell ref="AB706:AB706"/>
    <mergeCell ref="AC706:AC706"/>
    <mergeCell ref="AD706:AD706"/>
    <mergeCell ref="AE706:AE706"/>
    <mergeCell ref="AF706:AF706"/>
    <mergeCell ref="A707:A707"/>
    <mergeCell ref="B707:B707"/>
    <mergeCell ref="C707:C707"/>
    <mergeCell ref="F707:F707"/>
    <mergeCell ref="G707:G707"/>
    <mergeCell ref="H707:H707"/>
    <mergeCell ref="M707:M707"/>
    <mergeCell ref="N707:N707"/>
    <mergeCell ref="O707:O707"/>
    <mergeCell ref="P707:P707"/>
    <mergeCell ref="Q707:Q707"/>
    <mergeCell ref="R707:R707"/>
    <mergeCell ref="S707:S707"/>
    <mergeCell ref="X707:X707"/>
    <mergeCell ref="Y707:Y707"/>
    <mergeCell ref="Z707:Z707"/>
    <mergeCell ref="AA707:AA707"/>
    <mergeCell ref="AB707:AB707"/>
    <mergeCell ref="AC707:AC707"/>
    <mergeCell ref="AD707:AD707"/>
    <mergeCell ref="AE707:AE707"/>
    <mergeCell ref="AF707:AF707"/>
    <mergeCell ref="A708:A708"/>
    <mergeCell ref="B708:B708"/>
    <mergeCell ref="C708:C708"/>
    <mergeCell ref="F708:F708"/>
    <mergeCell ref="G708:G708"/>
    <mergeCell ref="H708:H708"/>
    <mergeCell ref="M708:M708"/>
    <mergeCell ref="N708:N708"/>
    <mergeCell ref="O708:O708"/>
    <mergeCell ref="P708:P708"/>
    <mergeCell ref="Q708:Q708"/>
    <mergeCell ref="R708:R708"/>
    <mergeCell ref="S708:S708"/>
    <mergeCell ref="X708:X708"/>
    <mergeCell ref="Y708:Y708"/>
    <mergeCell ref="Z708:Z708"/>
    <mergeCell ref="AA708:AA708"/>
    <mergeCell ref="AB708:AB708"/>
    <mergeCell ref="AC708:AC708"/>
    <mergeCell ref="AD708:AD708"/>
    <mergeCell ref="AE708:AE708"/>
    <mergeCell ref="AF708:AF708"/>
    <mergeCell ref="A709:A709"/>
    <mergeCell ref="B709:B709"/>
    <mergeCell ref="C709:C709"/>
    <mergeCell ref="F709:F709"/>
    <mergeCell ref="G709:G709"/>
    <mergeCell ref="H709:H709"/>
    <mergeCell ref="M709:M709"/>
    <mergeCell ref="N709:N709"/>
    <mergeCell ref="O709:O709"/>
    <mergeCell ref="P709:P709"/>
    <mergeCell ref="Q709:Q709"/>
    <mergeCell ref="R709:R709"/>
    <mergeCell ref="S709:S709"/>
    <mergeCell ref="X709:X709"/>
    <mergeCell ref="Y709:Y709"/>
    <mergeCell ref="Z709:Z709"/>
    <mergeCell ref="AA709:AA709"/>
    <mergeCell ref="AB709:AB709"/>
    <mergeCell ref="AC709:AC709"/>
    <mergeCell ref="AD709:AD709"/>
    <mergeCell ref="AE709:AE709"/>
    <mergeCell ref="AF709:AF709"/>
    <mergeCell ref="A710:A710"/>
    <mergeCell ref="B710:B710"/>
    <mergeCell ref="C710:C710"/>
    <mergeCell ref="F710:F710"/>
    <mergeCell ref="G710:G710"/>
    <mergeCell ref="H710:H710"/>
    <mergeCell ref="M710:M710"/>
    <mergeCell ref="N710:N710"/>
    <mergeCell ref="O710:O710"/>
    <mergeCell ref="P710:P710"/>
    <mergeCell ref="Q710:Q710"/>
    <mergeCell ref="R710:R710"/>
    <mergeCell ref="S710:S710"/>
    <mergeCell ref="X710:X710"/>
    <mergeCell ref="Y710:Y710"/>
    <mergeCell ref="Z710:Z710"/>
    <mergeCell ref="AA710:AA710"/>
    <mergeCell ref="AB710:AB710"/>
    <mergeCell ref="AC710:AC710"/>
    <mergeCell ref="AD710:AD710"/>
    <mergeCell ref="AE710:AE710"/>
    <mergeCell ref="AF710:AF710"/>
    <mergeCell ref="A711:A711"/>
    <mergeCell ref="B711:B711"/>
    <mergeCell ref="C711:C711"/>
    <mergeCell ref="F711:F711"/>
    <mergeCell ref="G711:G711"/>
    <mergeCell ref="H711:H711"/>
    <mergeCell ref="M711:M711"/>
    <mergeCell ref="N711:N711"/>
    <mergeCell ref="O711:O711"/>
    <mergeCell ref="P711:P711"/>
    <mergeCell ref="Q711:Q711"/>
    <mergeCell ref="R711:R711"/>
    <mergeCell ref="S711:S711"/>
    <mergeCell ref="X711:X711"/>
    <mergeCell ref="Y711:Y711"/>
    <mergeCell ref="Z711:Z711"/>
    <mergeCell ref="AA711:AA711"/>
    <mergeCell ref="AB711:AB711"/>
    <mergeCell ref="AC711:AC711"/>
    <mergeCell ref="AD711:AD711"/>
    <mergeCell ref="AE711:AE711"/>
    <mergeCell ref="AF711:AF711"/>
    <mergeCell ref="A712:A712"/>
    <mergeCell ref="B712:B712"/>
    <mergeCell ref="C712:C712"/>
    <mergeCell ref="F712:F712"/>
    <mergeCell ref="G712:G712"/>
    <mergeCell ref="H712:H712"/>
    <mergeCell ref="M712:M712"/>
    <mergeCell ref="N712:N712"/>
    <mergeCell ref="O712:O712"/>
    <mergeCell ref="P712:P712"/>
    <mergeCell ref="Q712:Q712"/>
    <mergeCell ref="R712:R712"/>
    <mergeCell ref="S712:S712"/>
    <mergeCell ref="X712:X712"/>
    <mergeCell ref="Y712:Y712"/>
    <mergeCell ref="Z712:Z712"/>
    <mergeCell ref="AA712:AA712"/>
    <mergeCell ref="AB712:AB712"/>
    <mergeCell ref="AC712:AC712"/>
    <mergeCell ref="AD712:AD712"/>
    <mergeCell ref="AE712:AE712"/>
    <mergeCell ref="AF712:AF712"/>
    <mergeCell ref="A713:A713"/>
    <mergeCell ref="B713:B713"/>
    <mergeCell ref="C713:C713"/>
    <mergeCell ref="F713:F713"/>
    <mergeCell ref="G713:G713"/>
    <mergeCell ref="H713:H713"/>
    <mergeCell ref="M713:M713"/>
    <mergeCell ref="N713:N713"/>
    <mergeCell ref="O713:O713"/>
    <mergeCell ref="P713:P713"/>
    <mergeCell ref="Q713:Q713"/>
    <mergeCell ref="R713:R713"/>
    <mergeCell ref="S713:S713"/>
    <mergeCell ref="X713:X713"/>
    <mergeCell ref="Y713:Y713"/>
    <mergeCell ref="Z713:Z713"/>
    <mergeCell ref="AA713:AA713"/>
    <mergeCell ref="AB713:AB713"/>
    <mergeCell ref="AC713:AC713"/>
    <mergeCell ref="AD713:AD713"/>
    <mergeCell ref="AE713:AE713"/>
    <mergeCell ref="AF713:AF713"/>
    <mergeCell ref="A714:A714"/>
    <mergeCell ref="B714:B714"/>
    <mergeCell ref="C714:C714"/>
    <mergeCell ref="F714:F714"/>
    <mergeCell ref="G714:G714"/>
    <mergeCell ref="H714:H714"/>
    <mergeCell ref="M714:M714"/>
    <mergeCell ref="N714:N714"/>
    <mergeCell ref="O714:O714"/>
    <mergeCell ref="P714:P714"/>
    <mergeCell ref="Q714:Q714"/>
    <mergeCell ref="R714:R714"/>
    <mergeCell ref="S714:S714"/>
    <mergeCell ref="X714:X714"/>
    <mergeCell ref="Y714:Y714"/>
    <mergeCell ref="Z714:Z714"/>
    <mergeCell ref="AA714:AA714"/>
    <mergeCell ref="AB714:AB714"/>
    <mergeCell ref="AC714:AC714"/>
    <mergeCell ref="AD714:AD714"/>
    <mergeCell ref="AE714:AE714"/>
    <mergeCell ref="AF714:AF714"/>
    <mergeCell ref="A715:A715"/>
    <mergeCell ref="B715:B715"/>
    <mergeCell ref="C715:C715"/>
    <mergeCell ref="F715:F715"/>
    <mergeCell ref="G715:G715"/>
    <mergeCell ref="H715:H715"/>
    <mergeCell ref="M715:M715"/>
    <mergeCell ref="N715:N715"/>
    <mergeCell ref="O715:O715"/>
    <mergeCell ref="P715:P715"/>
    <mergeCell ref="Q715:Q715"/>
    <mergeCell ref="R715:R715"/>
    <mergeCell ref="S715:S715"/>
    <mergeCell ref="X715:X715"/>
    <mergeCell ref="Y715:Y715"/>
    <mergeCell ref="Z715:Z715"/>
    <mergeCell ref="AA715:AA715"/>
    <mergeCell ref="AB715:AB715"/>
    <mergeCell ref="AC715:AC715"/>
    <mergeCell ref="AD715:AD715"/>
    <mergeCell ref="AE715:AE715"/>
    <mergeCell ref="AF715:AF715"/>
    <mergeCell ref="A716:A716"/>
    <mergeCell ref="B716:B716"/>
    <mergeCell ref="C716:C716"/>
    <mergeCell ref="F716:F716"/>
    <mergeCell ref="G716:G716"/>
    <mergeCell ref="H716:H716"/>
    <mergeCell ref="M716:M716"/>
    <mergeCell ref="N716:N716"/>
    <mergeCell ref="O716:O716"/>
    <mergeCell ref="P716:P716"/>
    <mergeCell ref="Q716:Q716"/>
    <mergeCell ref="R716:R716"/>
    <mergeCell ref="S716:S716"/>
    <mergeCell ref="X716:X716"/>
    <mergeCell ref="Y716:Y716"/>
    <mergeCell ref="Z716:Z716"/>
    <mergeCell ref="AA716:AA716"/>
    <mergeCell ref="AB716:AB716"/>
    <mergeCell ref="AC716:AC716"/>
    <mergeCell ref="AD716:AD716"/>
    <mergeCell ref="AE716:AE716"/>
    <mergeCell ref="AF716:AF716"/>
    <mergeCell ref="A717:A717"/>
    <mergeCell ref="B717:B717"/>
    <mergeCell ref="C717:C717"/>
    <mergeCell ref="F717:F717"/>
    <mergeCell ref="G717:G717"/>
    <mergeCell ref="H717:H717"/>
    <mergeCell ref="M717:M717"/>
    <mergeCell ref="N717:N717"/>
    <mergeCell ref="O717:O717"/>
    <mergeCell ref="P717:P717"/>
    <mergeCell ref="Q717:Q717"/>
    <mergeCell ref="R717:R717"/>
    <mergeCell ref="S717:S717"/>
    <mergeCell ref="X717:X717"/>
    <mergeCell ref="Y717:Y717"/>
    <mergeCell ref="Z717:Z717"/>
    <mergeCell ref="AA717:AA717"/>
    <mergeCell ref="AB717:AB717"/>
    <mergeCell ref="AC717:AC717"/>
    <mergeCell ref="AD717:AD717"/>
    <mergeCell ref="AE717:AE717"/>
    <mergeCell ref="AF717:AF717"/>
    <mergeCell ref="A718:A718"/>
    <mergeCell ref="B718:B718"/>
    <mergeCell ref="C718:C718"/>
    <mergeCell ref="F718:F718"/>
    <mergeCell ref="G718:G718"/>
    <mergeCell ref="H718:H718"/>
    <mergeCell ref="M718:M718"/>
    <mergeCell ref="N718:N718"/>
    <mergeCell ref="O718:O718"/>
    <mergeCell ref="P718:P718"/>
    <mergeCell ref="Q718:Q718"/>
    <mergeCell ref="R718:R718"/>
    <mergeCell ref="S718:S718"/>
    <mergeCell ref="X718:X718"/>
    <mergeCell ref="Y718:Y718"/>
    <mergeCell ref="Z718:Z718"/>
    <mergeCell ref="AA718:AA718"/>
    <mergeCell ref="AB718:AB718"/>
    <mergeCell ref="AC718:AC718"/>
    <mergeCell ref="AD718:AD718"/>
    <mergeCell ref="AE718:AE718"/>
    <mergeCell ref="AF718:AF718"/>
    <mergeCell ref="A719:A719"/>
    <mergeCell ref="B719:B719"/>
    <mergeCell ref="C719:C719"/>
    <mergeCell ref="F719:F719"/>
    <mergeCell ref="G719:G719"/>
    <mergeCell ref="H719:H719"/>
    <mergeCell ref="M719:M719"/>
    <mergeCell ref="N719:N719"/>
    <mergeCell ref="O719:O719"/>
    <mergeCell ref="P719:P719"/>
    <mergeCell ref="Q719:Q719"/>
    <mergeCell ref="R719:R719"/>
    <mergeCell ref="S719:S719"/>
    <mergeCell ref="X719:X719"/>
    <mergeCell ref="Y719:Y719"/>
    <mergeCell ref="Z719:Z719"/>
    <mergeCell ref="AA719:AA719"/>
    <mergeCell ref="AB719:AB719"/>
    <mergeCell ref="AC719:AC719"/>
    <mergeCell ref="AD719:AD719"/>
    <mergeCell ref="AE719:AE719"/>
    <mergeCell ref="AF719:AF719"/>
    <mergeCell ref="A720:A720"/>
    <mergeCell ref="B720:B720"/>
    <mergeCell ref="C720:C720"/>
    <mergeCell ref="F720:F720"/>
    <mergeCell ref="G720:G720"/>
    <mergeCell ref="H720:H720"/>
    <mergeCell ref="M720:M720"/>
    <mergeCell ref="N720:N720"/>
    <mergeCell ref="O720:O720"/>
    <mergeCell ref="P720:P720"/>
    <mergeCell ref="Q720:Q720"/>
    <mergeCell ref="R720:R720"/>
    <mergeCell ref="S720:S720"/>
    <mergeCell ref="X720:X720"/>
    <mergeCell ref="Y720:Y720"/>
    <mergeCell ref="Z720:Z720"/>
    <mergeCell ref="AA720:AA720"/>
    <mergeCell ref="AB720:AB720"/>
    <mergeCell ref="AC720:AC720"/>
    <mergeCell ref="AD720:AD720"/>
    <mergeCell ref="AE720:AE720"/>
    <mergeCell ref="AF720:AF720"/>
    <mergeCell ref="A721:A721"/>
    <mergeCell ref="B721:B721"/>
    <mergeCell ref="C721:C721"/>
    <mergeCell ref="F721:F721"/>
    <mergeCell ref="G721:G721"/>
    <mergeCell ref="H721:H721"/>
    <mergeCell ref="M721:M721"/>
    <mergeCell ref="N721:N721"/>
    <mergeCell ref="O721:O721"/>
    <mergeCell ref="P721:P721"/>
    <mergeCell ref="Q721:Q721"/>
    <mergeCell ref="R721:R721"/>
    <mergeCell ref="S721:S721"/>
    <mergeCell ref="X721:X721"/>
    <mergeCell ref="Y721:Y721"/>
    <mergeCell ref="Z721:Z721"/>
    <mergeCell ref="AA721:AA721"/>
    <mergeCell ref="AB721:AB721"/>
    <mergeCell ref="AC721:AC721"/>
    <mergeCell ref="AD721:AD721"/>
    <mergeCell ref="AE721:AE721"/>
    <mergeCell ref="AF721:AF721"/>
    <mergeCell ref="A722:A722"/>
    <mergeCell ref="B722:B722"/>
    <mergeCell ref="C722:C722"/>
    <mergeCell ref="F722:F722"/>
    <mergeCell ref="G722:G722"/>
    <mergeCell ref="H722:H722"/>
    <mergeCell ref="M722:M722"/>
    <mergeCell ref="N722:N722"/>
    <mergeCell ref="O722:O722"/>
    <mergeCell ref="P722:P722"/>
    <mergeCell ref="Q722:Q722"/>
    <mergeCell ref="R722:R722"/>
    <mergeCell ref="S722:S722"/>
    <mergeCell ref="X722:X722"/>
    <mergeCell ref="Y722:Y722"/>
    <mergeCell ref="Z722:Z722"/>
    <mergeCell ref="AA722:AA722"/>
    <mergeCell ref="AB722:AB722"/>
    <mergeCell ref="AC722:AC722"/>
    <mergeCell ref="AD722:AD722"/>
    <mergeCell ref="AE722:AE722"/>
    <mergeCell ref="AF722:AF722"/>
    <mergeCell ref="A723:A723"/>
    <mergeCell ref="B723:B723"/>
    <mergeCell ref="C723:C723"/>
    <mergeCell ref="F723:F723"/>
    <mergeCell ref="G723:G723"/>
    <mergeCell ref="H723:H723"/>
    <mergeCell ref="M723:M723"/>
    <mergeCell ref="N723:N723"/>
    <mergeCell ref="O723:O723"/>
    <mergeCell ref="P723:P723"/>
    <mergeCell ref="Q723:Q723"/>
    <mergeCell ref="R723:R723"/>
    <mergeCell ref="S723:S723"/>
    <mergeCell ref="X723:X723"/>
    <mergeCell ref="Y723:Y723"/>
    <mergeCell ref="Z723:Z723"/>
    <mergeCell ref="AA723:AA723"/>
    <mergeCell ref="AB723:AB723"/>
    <mergeCell ref="AC723:AC723"/>
    <mergeCell ref="AD723:AD723"/>
    <mergeCell ref="AE723:AE723"/>
    <mergeCell ref="AF723:AF723"/>
    <mergeCell ref="A724:A724"/>
    <mergeCell ref="B724:B724"/>
    <mergeCell ref="C724:C724"/>
    <mergeCell ref="F724:F724"/>
    <mergeCell ref="G724:G724"/>
    <mergeCell ref="H724:H724"/>
    <mergeCell ref="M724:M724"/>
    <mergeCell ref="N724:N724"/>
    <mergeCell ref="O724:O724"/>
    <mergeCell ref="P724:P724"/>
    <mergeCell ref="Q724:Q724"/>
    <mergeCell ref="R724:R724"/>
    <mergeCell ref="S724:S724"/>
    <mergeCell ref="X724:X724"/>
    <mergeCell ref="Y724:Y724"/>
    <mergeCell ref="Z724:Z724"/>
    <mergeCell ref="AA724:AA724"/>
    <mergeCell ref="AB724:AB724"/>
    <mergeCell ref="AC724:AC724"/>
    <mergeCell ref="AD724:AD724"/>
    <mergeCell ref="AE724:AE724"/>
    <mergeCell ref="AF724:AF724"/>
    <mergeCell ref="A725:A725"/>
    <mergeCell ref="B725:B725"/>
    <mergeCell ref="C725:C725"/>
    <mergeCell ref="F725:F725"/>
    <mergeCell ref="G725:G725"/>
    <mergeCell ref="H725:H725"/>
    <mergeCell ref="M725:M725"/>
    <mergeCell ref="N725:N725"/>
    <mergeCell ref="O725:O725"/>
    <mergeCell ref="P725:P725"/>
    <mergeCell ref="Q725:Q725"/>
    <mergeCell ref="R725:R725"/>
    <mergeCell ref="S725:S725"/>
    <mergeCell ref="X725:X725"/>
    <mergeCell ref="Y725:Y725"/>
    <mergeCell ref="Z725:Z725"/>
    <mergeCell ref="AA725:AA725"/>
    <mergeCell ref="AB725:AB725"/>
    <mergeCell ref="AC725:AC725"/>
    <mergeCell ref="AD725:AD725"/>
    <mergeCell ref="AE725:AE725"/>
    <mergeCell ref="AF725:AF725"/>
    <mergeCell ref="A726:A726"/>
    <mergeCell ref="B726:B726"/>
    <mergeCell ref="C726:C726"/>
    <mergeCell ref="F726:F726"/>
    <mergeCell ref="G726:G726"/>
    <mergeCell ref="H726:H726"/>
    <mergeCell ref="M726:M726"/>
    <mergeCell ref="N726:N726"/>
    <mergeCell ref="O726:O726"/>
    <mergeCell ref="P726:P726"/>
    <mergeCell ref="Q726:Q726"/>
    <mergeCell ref="R726:R726"/>
    <mergeCell ref="S726:S726"/>
    <mergeCell ref="X726:X726"/>
    <mergeCell ref="Y726:Y726"/>
    <mergeCell ref="Z726:Z726"/>
    <mergeCell ref="AA726:AA726"/>
    <mergeCell ref="AB726:AB726"/>
    <mergeCell ref="AC726:AC726"/>
    <mergeCell ref="AD726:AD726"/>
    <mergeCell ref="AE726:AE726"/>
    <mergeCell ref="AF726:AF726"/>
    <mergeCell ref="A727:A727"/>
    <mergeCell ref="B727:B727"/>
    <mergeCell ref="C727:C727"/>
    <mergeCell ref="F727:F727"/>
    <mergeCell ref="G727:G727"/>
    <mergeCell ref="H727:H727"/>
    <mergeCell ref="M727:M727"/>
    <mergeCell ref="N727:N727"/>
    <mergeCell ref="O727:O727"/>
    <mergeCell ref="P727:P727"/>
    <mergeCell ref="Q727:Q727"/>
    <mergeCell ref="R727:R727"/>
    <mergeCell ref="S727:S727"/>
    <mergeCell ref="X727:X727"/>
    <mergeCell ref="Y727:Y727"/>
    <mergeCell ref="Z727:Z727"/>
    <mergeCell ref="AA727:AA727"/>
    <mergeCell ref="AB727:AB727"/>
    <mergeCell ref="AC727:AC727"/>
    <mergeCell ref="AD727:AD727"/>
    <mergeCell ref="AE727:AE727"/>
    <mergeCell ref="AF727:AF727"/>
    <mergeCell ref="A728:A728"/>
    <mergeCell ref="B728:B728"/>
    <mergeCell ref="C728:C728"/>
    <mergeCell ref="F728:F728"/>
    <mergeCell ref="G728:G728"/>
    <mergeCell ref="H728:H728"/>
    <mergeCell ref="M728:M728"/>
    <mergeCell ref="N728:N728"/>
    <mergeCell ref="O728:O728"/>
    <mergeCell ref="P728:P728"/>
    <mergeCell ref="Q728:Q728"/>
    <mergeCell ref="R728:R728"/>
    <mergeCell ref="S728:S728"/>
    <mergeCell ref="X728:X728"/>
    <mergeCell ref="Y728:Y728"/>
    <mergeCell ref="Z728:Z728"/>
    <mergeCell ref="AA728:AA728"/>
    <mergeCell ref="AB728:AB728"/>
    <mergeCell ref="AC728:AC728"/>
    <mergeCell ref="AD728:AD728"/>
    <mergeCell ref="AE728:AE728"/>
    <mergeCell ref="AF728:AF728"/>
    <mergeCell ref="A729:A729"/>
    <mergeCell ref="B729:B729"/>
    <mergeCell ref="C729:C729"/>
    <mergeCell ref="F729:F729"/>
    <mergeCell ref="G729:G729"/>
    <mergeCell ref="H729:H729"/>
    <mergeCell ref="M729:M729"/>
    <mergeCell ref="N729:N729"/>
    <mergeCell ref="O729:O729"/>
    <mergeCell ref="P729:P729"/>
    <mergeCell ref="Q729:Q729"/>
    <mergeCell ref="R729:R729"/>
    <mergeCell ref="S729:S729"/>
    <mergeCell ref="X729:X729"/>
    <mergeCell ref="Y729:Y729"/>
    <mergeCell ref="Z729:Z729"/>
    <mergeCell ref="AA729:AA729"/>
    <mergeCell ref="AB729:AB729"/>
    <mergeCell ref="AC729:AC729"/>
    <mergeCell ref="AD729:AD729"/>
    <mergeCell ref="AE729:AE729"/>
    <mergeCell ref="AF729:AF729"/>
    <mergeCell ref="A730:A730"/>
    <mergeCell ref="B730:B730"/>
    <mergeCell ref="C730:C730"/>
    <mergeCell ref="F730:F730"/>
    <mergeCell ref="G730:G730"/>
    <mergeCell ref="H730:H730"/>
    <mergeCell ref="M730:M730"/>
    <mergeCell ref="N730:N730"/>
    <mergeCell ref="O730:O730"/>
    <mergeCell ref="P730:P730"/>
    <mergeCell ref="Q730:Q730"/>
    <mergeCell ref="R730:R730"/>
    <mergeCell ref="S730:S730"/>
    <mergeCell ref="X730:X730"/>
    <mergeCell ref="Y730:Y730"/>
    <mergeCell ref="Z730:Z730"/>
    <mergeCell ref="AA730:AA730"/>
    <mergeCell ref="AB730:AB730"/>
    <mergeCell ref="AC730:AC730"/>
    <mergeCell ref="AD730:AD730"/>
    <mergeCell ref="AE730:AE730"/>
    <mergeCell ref="AF730:AF730"/>
    <mergeCell ref="A731:A731"/>
    <mergeCell ref="B731:B731"/>
    <mergeCell ref="C731:C731"/>
    <mergeCell ref="F731:F731"/>
    <mergeCell ref="G731:G731"/>
    <mergeCell ref="H731:H731"/>
    <mergeCell ref="M731:M731"/>
    <mergeCell ref="N731:N731"/>
    <mergeCell ref="O731:O731"/>
    <mergeCell ref="P731:P731"/>
    <mergeCell ref="Q731:Q731"/>
    <mergeCell ref="R731:R731"/>
    <mergeCell ref="S731:S731"/>
    <mergeCell ref="X731:X731"/>
    <mergeCell ref="Y731:Y731"/>
    <mergeCell ref="Z731:Z731"/>
    <mergeCell ref="AA731:AA731"/>
    <mergeCell ref="AB731:AB731"/>
    <mergeCell ref="AC731:AC731"/>
    <mergeCell ref="AD731:AD731"/>
    <mergeCell ref="AE731:AE731"/>
    <mergeCell ref="AF731:AF731"/>
    <mergeCell ref="A732:A732"/>
    <mergeCell ref="B732:B732"/>
    <mergeCell ref="C732:C732"/>
    <mergeCell ref="F732:F732"/>
    <mergeCell ref="G732:G732"/>
    <mergeCell ref="H732:H732"/>
    <mergeCell ref="M732:M732"/>
    <mergeCell ref="N732:N732"/>
    <mergeCell ref="O732:O732"/>
    <mergeCell ref="P732:P732"/>
    <mergeCell ref="Q732:Q732"/>
    <mergeCell ref="R732:R732"/>
    <mergeCell ref="S732:S732"/>
    <mergeCell ref="X732:X732"/>
    <mergeCell ref="Y732:Y732"/>
    <mergeCell ref="Z732:Z732"/>
    <mergeCell ref="AA732:AA732"/>
    <mergeCell ref="AB732:AB732"/>
    <mergeCell ref="AC732:AC732"/>
    <mergeCell ref="AD732:AD732"/>
    <mergeCell ref="AE732:AE732"/>
    <mergeCell ref="AF732:AF732"/>
    <mergeCell ref="A733:A733"/>
    <mergeCell ref="B733:B733"/>
    <mergeCell ref="C733:C733"/>
    <mergeCell ref="F733:F733"/>
    <mergeCell ref="G733:G733"/>
    <mergeCell ref="H733:H733"/>
    <mergeCell ref="M733:M733"/>
    <mergeCell ref="N733:N733"/>
    <mergeCell ref="O733:O733"/>
    <mergeCell ref="P733:P733"/>
    <mergeCell ref="Q733:Q733"/>
    <mergeCell ref="R733:R733"/>
    <mergeCell ref="S733:S733"/>
    <mergeCell ref="X733:X733"/>
    <mergeCell ref="Y733:Y733"/>
    <mergeCell ref="Z733:Z733"/>
    <mergeCell ref="AA733:AA733"/>
    <mergeCell ref="AB733:AB733"/>
    <mergeCell ref="AC733:AC733"/>
    <mergeCell ref="AD733:AD733"/>
    <mergeCell ref="AE733:AE733"/>
    <mergeCell ref="AF733:AF733"/>
    <mergeCell ref="A734:A734"/>
    <mergeCell ref="B734:B734"/>
    <mergeCell ref="C734:C734"/>
    <mergeCell ref="F734:F734"/>
    <mergeCell ref="G734:G734"/>
    <mergeCell ref="H734:H734"/>
    <mergeCell ref="M734:M734"/>
    <mergeCell ref="N734:N734"/>
    <mergeCell ref="O734:O734"/>
    <mergeCell ref="P734:P734"/>
    <mergeCell ref="Q734:Q734"/>
    <mergeCell ref="R734:R734"/>
    <mergeCell ref="S734:S734"/>
    <mergeCell ref="X734:X734"/>
    <mergeCell ref="Y734:Y734"/>
    <mergeCell ref="Z734:Z734"/>
    <mergeCell ref="AA734:AA734"/>
    <mergeCell ref="AB734:AB734"/>
    <mergeCell ref="AC734:AC734"/>
    <mergeCell ref="AD734:AD734"/>
    <mergeCell ref="AE734:AE734"/>
    <mergeCell ref="AF734:AF734"/>
    <mergeCell ref="A735:A735"/>
    <mergeCell ref="B735:B735"/>
    <mergeCell ref="C735:C735"/>
    <mergeCell ref="F735:F735"/>
    <mergeCell ref="G735:G735"/>
    <mergeCell ref="H735:H735"/>
    <mergeCell ref="M735:M735"/>
    <mergeCell ref="N735:N735"/>
    <mergeCell ref="O735:O735"/>
    <mergeCell ref="P735:P735"/>
    <mergeCell ref="Q735:Q735"/>
    <mergeCell ref="R735:R735"/>
    <mergeCell ref="S735:S735"/>
    <mergeCell ref="X735:X735"/>
    <mergeCell ref="Y735:Y735"/>
    <mergeCell ref="Z735:Z735"/>
    <mergeCell ref="AA735:AA735"/>
    <mergeCell ref="AB735:AB735"/>
    <mergeCell ref="AC735:AC735"/>
    <mergeCell ref="AD735:AD735"/>
    <mergeCell ref="AE735:AE735"/>
    <mergeCell ref="AF735:AF735"/>
    <mergeCell ref="A736:A736"/>
    <mergeCell ref="B736:B736"/>
    <mergeCell ref="C736:C736"/>
    <mergeCell ref="F736:F736"/>
    <mergeCell ref="G736:G736"/>
    <mergeCell ref="H736:H736"/>
    <mergeCell ref="M736:M736"/>
    <mergeCell ref="N736:N736"/>
    <mergeCell ref="O736:O736"/>
    <mergeCell ref="P736:P736"/>
    <mergeCell ref="Q736:Q736"/>
    <mergeCell ref="R736:R736"/>
    <mergeCell ref="S736:S736"/>
    <mergeCell ref="X736:X736"/>
    <mergeCell ref="Y736:Y736"/>
    <mergeCell ref="Z736:Z736"/>
    <mergeCell ref="AA736:AA736"/>
    <mergeCell ref="AB736:AB736"/>
    <mergeCell ref="AC736:AC736"/>
    <mergeCell ref="AD736:AD736"/>
    <mergeCell ref="AE736:AE736"/>
    <mergeCell ref="AF736:AF736"/>
    <mergeCell ref="A737:A737"/>
    <mergeCell ref="B737:B737"/>
    <mergeCell ref="C737:C737"/>
    <mergeCell ref="F737:F737"/>
    <mergeCell ref="G737:G737"/>
    <mergeCell ref="H737:H737"/>
    <mergeCell ref="M737:M737"/>
    <mergeCell ref="N737:N737"/>
    <mergeCell ref="O737:O737"/>
    <mergeCell ref="P737:P737"/>
    <mergeCell ref="Q737:Q737"/>
    <mergeCell ref="R737:R737"/>
    <mergeCell ref="S737:S737"/>
    <mergeCell ref="X737:X737"/>
    <mergeCell ref="Y737:Y737"/>
    <mergeCell ref="Z737:Z737"/>
    <mergeCell ref="AA737:AA737"/>
    <mergeCell ref="AB737:AB737"/>
    <mergeCell ref="AC737:AC737"/>
    <mergeCell ref="AD737:AD737"/>
    <mergeCell ref="AE737:AE737"/>
    <mergeCell ref="AF737:AF737"/>
    <mergeCell ref="A738:A738"/>
    <mergeCell ref="B738:B738"/>
    <mergeCell ref="C738:C738"/>
    <mergeCell ref="F738:F738"/>
    <mergeCell ref="G738:G738"/>
    <mergeCell ref="H738:H738"/>
    <mergeCell ref="M738:M738"/>
    <mergeCell ref="N738:N738"/>
    <mergeCell ref="O738:O738"/>
    <mergeCell ref="P738:P738"/>
    <mergeCell ref="Q738:Q738"/>
    <mergeCell ref="R738:R738"/>
    <mergeCell ref="S738:S738"/>
    <mergeCell ref="X738:X738"/>
    <mergeCell ref="Y738:Y738"/>
    <mergeCell ref="Z738:Z738"/>
    <mergeCell ref="AA738:AA738"/>
    <mergeCell ref="AB738:AB738"/>
    <mergeCell ref="AC738:AC738"/>
    <mergeCell ref="AD738:AD738"/>
    <mergeCell ref="AE738:AE738"/>
    <mergeCell ref="AF738:AF738"/>
    <mergeCell ref="A739:A739"/>
    <mergeCell ref="B739:B739"/>
    <mergeCell ref="C739:C739"/>
    <mergeCell ref="F739:F739"/>
    <mergeCell ref="G739:G739"/>
    <mergeCell ref="H739:H739"/>
    <mergeCell ref="M739:M739"/>
    <mergeCell ref="N739:N739"/>
    <mergeCell ref="O739:O739"/>
    <mergeCell ref="P739:P739"/>
    <mergeCell ref="Q739:Q739"/>
    <mergeCell ref="R739:R739"/>
    <mergeCell ref="S739:S739"/>
    <mergeCell ref="X739:X739"/>
    <mergeCell ref="Y739:Y739"/>
    <mergeCell ref="Z739:Z739"/>
    <mergeCell ref="AA739:AA739"/>
    <mergeCell ref="AB739:AB739"/>
    <mergeCell ref="AC739:AC739"/>
    <mergeCell ref="AD739:AD739"/>
    <mergeCell ref="AE739:AE739"/>
    <mergeCell ref="AF739:AF739"/>
    <mergeCell ref="A740:A740"/>
    <mergeCell ref="B740:B740"/>
    <mergeCell ref="C740:C740"/>
    <mergeCell ref="F740:F740"/>
    <mergeCell ref="G740:G740"/>
    <mergeCell ref="H740:H740"/>
    <mergeCell ref="M740:M740"/>
    <mergeCell ref="N740:N740"/>
    <mergeCell ref="O740:O740"/>
    <mergeCell ref="P740:P740"/>
    <mergeCell ref="Q740:Q740"/>
    <mergeCell ref="R740:R740"/>
    <mergeCell ref="S740:S740"/>
    <mergeCell ref="X740:X740"/>
    <mergeCell ref="Y740:Y740"/>
    <mergeCell ref="Z740:Z740"/>
    <mergeCell ref="AA740:AA740"/>
    <mergeCell ref="AB740:AB740"/>
    <mergeCell ref="AC740:AC740"/>
    <mergeCell ref="AD740:AD740"/>
    <mergeCell ref="AE740:AE740"/>
    <mergeCell ref="AF740:AF740"/>
    <mergeCell ref="A741:A741"/>
    <mergeCell ref="B741:B741"/>
    <mergeCell ref="C741:C741"/>
    <mergeCell ref="F741:F741"/>
    <mergeCell ref="G741:G741"/>
    <mergeCell ref="H741:H741"/>
    <mergeCell ref="M741:M741"/>
    <mergeCell ref="N741:N741"/>
    <mergeCell ref="O741:O741"/>
    <mergeCell ref="P741:P741"/>
    <mergeCell ref="Q741:Q741"/>
    <mergeCell ref="R741:R741"/>
    <mergeCell ref="S741:S741"/>
    <mergeCell ref="X741:X741"/>
    <mergeCell ref="Y741:Y741"/>
    <mergeCell ref="Z741:Z741"/>
    <mergeCell ref="AA741:AA741"/>
    <mergeCell ref="AB741:AB741"/>
    <mergeCell ref="AC741:AC741"/>
    <mergeCell ref="AD741:AD741"/>
    <mergeCell ref="AE741:AE741"/>
    <mergeCell ref="AF741:AF741"/>
  </mergeCells>
  <hyperlinks>
    <hyperlink ref="D6" r:id="rId_hyperlink_1" tooltip="3#站厌氧罐防腐保温外层铁皮经年腐蚀老化，操作工在清理其周边卫生时被脱落的铁皮砸伤"/>
    <hyperlink ref="D7" r:id="rId_hyperlink_2" tooltip="切割机电缆未防护，长时间进行切割作业飞溅火星可能会造成电缆烧伤破损，假如维修人员移动时可能会造成电缆短路"/>
    <hyperlink ref="D8" r:id="rId_hyperlink_3" tooltip="锅炉零米爬梯处地沟盖板缺失，巡检人员如果注意力不集中迈入地沟中造成左小腿扭伤骨折。"/>
    <hyperlink ref="D9" r:id="rId_hyperlink_4" tooltip="余热回收器导淋部分阀门及管道未及时保温，导淋部件温度较高，若雨天导淋阀门及管件遇大量低温雨水易开裂、泄漏，导致合成系统停车"/>
    <hyperlink ref="D10" r:id="rId_hyperlink_5" tooltip="因生活给水管道破损，大母液泵附近洗眼器长期无水，假如操作人员母液溅入眼内未及时清洗，可能造成眼部灼伤。"/>
    <hyperlink ref="D11" r:id="rId_hyperlink_6" tooltip="一名操作工从4.3米焦炉烟道闸板配重铁底部经过，因抱闸突然失灵配重铁下落，砸到人员头部，当场昏迷，经医院抢救无效死亡"/>
    <hyperlink ref="D12" r:id="rId_hyperlink_7" tooltip="好氧池护栏开焊倾斜，操作工在来回巡检时，由于过道太窄人员必须身子倾斜扶着护栏过，有可能护栏倾斜角度过大，操作工从池子上掉下来，造成该人员身上多处骨折。"/>
    <hyperlink ref="D13" r:id="rId_hyperlink_8" tooltip="35T锅炉二层平台一灭火器未采取防倾倒措施，巡检人员从旁边经过时容易被倾倒的灭火器砸伤脚面,造成在家休息七天的损工事故"/>
    <hyperlink ref="D14" r:id="rId_hyperlink_9" tooltip="1号溶液循环泵出口阀门处操作平台底部支撑腐蚀严重，如果有操作人员在开关阀门调节流量易造成人员坠落伤害事故。"/>
    <hyperlink ref="D15" r:id="rId_hyperlink_10" tooltip="母液贮槽顶部一段护栏缺失，一名操作人员在顶部巡检捞焦油过程中，如果未系安全带，可能造成3米高处坠落。"/>
    <hyperlink ref="D16" r:id="rId_hyperlink_11" tooltip="粗苯终冷塔顶部放散电动阀门穿线管与终冷塔下部脱离，如果操作工巡检经过时穿线管坠落会造成操作工肩部砸伤，误工一个月，住院治疗15天。"/>
    <hyperlink ref="D17" r:id="rId_hyperlink_12" tooltip="筛焦楼复频筛，因无操作平台，一名维修工在检修电机时，不慎跌落造成多根肋骨骨折，就医修养十二个月。"/>
    <hyperlink ref="D18" r:id="rId_hyperlink_13" tooltip="一名转化操作工在巡检过程中，因无提示标志在事故水边池坠入池中，造成一人溺水，送医治疗"/>
    <hyperlink ref="D19" r:id="rId_hyperlink_14" tooltip="碳化塔尾气管压力变送器信号输出线包扎不严，导致雨水灌入。"/>
    <hyperlink ref="D20" r:id="rId_hyperlink_15" tooltip="一操作工在配重下部清理卫生时，卷扬机抱闸失灵配重下落，将操作工砸伤。"/>
    <hyperlink ref="D21" r:id="rId_hyperlink_16" tooltip="变换巡检室线缆桥架入墙处，开孔大，扣板未盖严，漏雨水，墙壁上照明、充电线盒敞开。雨水流入穿线管，若一名操作工裸手触碰开关触电，轻度灼伤。"/>
    <hyperlink ref="D22" r:id="rId_hyperlink_17" tooltip="变换巡检室线缆桥架入墙处，开孔大，扣板未盖严，漏雨水，墙壁上照明、充电线盒敞开。若雨水流入线路，造成短路，照明电路和控制机柜跳闸，变换装置停车。"/>
    <hyperlink ref="D23" r:id="rId_hyperlink_18" tooltip="外包人员给粗苯终冷塔除锈动工前，监护人在动工前安全隐患排查时发现磨光机电缆线老化、绝缘管破裂，而且电缆线浸泡在水中。如果排查中没有及时发现有人员用脚踩到或触碰到电缆线可能造成人员触电死亡。"/>
    <hyperlink ref="D24" r:id="rId_hyperlink_19" tooltip="稠厚器取出管防护罩未在有效位置，操作人员开关阀门时，取出液外溅，造成一名操作人员眼睛和皮肤灼伤。"/>
    <hyperlink ref="D25" r:id="rId_hyperlink_20" tooltip="硫酸泵定时加药运行，加药时硫酸管与消防水管道接触振动摩擦，导致硫酸管磨损破裂，巡检人员巡检时少量硫酸溅至巡检人员面部，导致一人面部灼伤，送医治疗损工3天。"/>
    <hyperlink ref="D26" r:id="rId_hyperlink_21" tooltip="在换向过程中，由于煤气交换旋塞油缸限位固定不牢，致使交换拉条拉过头，造成交换旋塞被拉断的后果。"/>
    <hyperlink ref="D27" r:id="rId_hyperlink_22" tooltip="5.5米焦侧通廊北头上部破损通风道出现掉落，砸中下方巡检人员，可能造成人员手部、颈部轻微划伤，进行消毒包扎处理"/>
    <hyperlink ref="D28" r:id="rId_hyperlink_23" tooltip="2#炉焦侧熄焦上部防护网部分断裂，如果防护网全部断裂砸伤人员，可能造成人员头部出血，去医院包扎止血的损工事故"/>
    <hyperlink ref="D29" r:id="rId_hyperlink_24" tooltip="2号调节池提升泵操作平台腐蚀严重存在安全隐患"/>
    <hyperlink ref="D30" r:id="rId_hyperlink_25" tooltip="巡检工巡检时因地面有积水且地沟小井盖板未覆盖导致脚部打滑跌落致小井，造成一名巡检工脚腕扭伤，就医治疗。"/>
    <hyperlink ref="D31" r:id="rId_hyperlink_26" tooltip="空分工段液氧管线阀门处无保温，长时间暴露导致阀门处结霜，操作人员开关阀门时被冻伤。"/>
    <hyperlink ref="D32" r:id="rId_hyperlink_27" tooltip="大回流放空阀门下部放空管腐蚀严重，如果操作人员在放空管线内冷凝液时，腐蚀的管线未及时更换，会造成冷凝液落地，形成环保事故"/>
    <hyperlink ref="D33" r:id="rId_hyperlink_28" tooltip="5.5米焦炉地下室南头西侧蒸汽管道法兰连接处漏汽，一人员经过此处时不慎被泄露的蒸汽烫伤，造成右侧面部深二度烫伤，送医治疗20天后出院。"/>
    <hyperlink ref="D34" r:id="rId_hyperlink_29" tooltip="化验员在取样时因取样口太小且夹在两管道之间，需下蹲身体前倾才能取样，极其不便，另取样口上方管道侧面延伸出一废旧弯头，每次取样时都磕碰在安全帽上，存在安全隐患"/>
    <hyperlink ref="D35" r:id="rId_hyperlink_30" tooltip="西二后尾爬梯腐蚀"/>
    <hyperlink ref="D36" r:id="rId_hyperlink_31" tooltip="北风机1#初冷器煤气出口阀门平台处，平台与初冷器器体间隙过大，如果一名操作人员在开关煤气出口阀门时，右腿不慎从间隙处踩空掉落，造成右腿部多处轻微擦伤，经简单处理后不影响工作。"/>
    <hyperlink ref="D37" r:id="rId_hyperlink_32" tooltip="一操作工夜间开一次水补水阀时，由于现场排水沟盖板缺失，未能及时发现，右脚踩空掉入沟中，造成右脚踝脱臼。"/>
    <hyperlink ref="D38" r:id="rId_hyperlink_33" tooltip="一巡检人员在操作消防水池补水阀时，由于排水沟盖板缺失，未能及时发现，左脚不慎踩空掉入沟中，造成左腿划伤"/>
    <hyperlink ref="D39" r:id="rId_hyperlink_34" tooltip="一员工开关阀门时，从硫酸加药管底部走过，由于硫酸加药管道未加防护装置，管道腐蚀，硫酸滴落在人员背部，造成轻微灼伤"/>
    <hyperlink ref="D40" r:id="rId_hyperlink_35" tooltip="码垛机防护栏未及时关闭，巡检工在巡检过程中码垛盘上碳酸氢铵从上部掉落，造成砸伤事故。"/>
    <hyperlink ref="D41" r:id="rId_hyperlink_36" tooltip="大门底部滑轮销子断裂，操作工在关闭大门时，滑轮脱轨，大门倾倒，操作人员躲避不及时，双腿被大门正面砸中，造成小腿骨折，住院治疗两个月，休养半年。"/>
    <hyperlink ref="D42" r:id="rId_hyperlink_37" tooltip="操作工在排油后未及时将地沟盖板复位，操作工在巡检时一人腿部跌落地沟，造成腿部擦伤。"/>
    <hyperlink ref="D43" r:id="rId_hyperlink_38" tooltip="碳化三楼料仓废弃电路管线盒，位置太低，操作工巡检到此处时，被划伤眼部"/>
    <hyperlink ref="D44" r:id="rId_hyperlink_39" tooltip="精脱硫2#水分管线处有一石棉垫子，巡检工巡查时，石棉垫子掉落"/>
    <hyperlink ref="D45" r:id="rId_hyperlink_40" tooltip="氨水制备器西南角一线缆套管破裂脱落，易造成线缆胶皮老化电线裸露，当人员经过时造成触电"/>
    <hyperlink ref="D46" r:id="rId_hyperlink_41" tooltip="COD大试管架底部断裂，试管放置不牢，相互碰撞，瓶身出现裂痕、破裂，瓶内少量液体漏出，腐蚀地面，及时采取应急措施处理，半小时后清理干净。"/>
    <hyperlink ref="D47" r:id="rId_hyperlink_42" tooltip="转化小仓库爬梯护栏无警示标识，巡检人员巡检时不慎造成腿部磕伤。"/>
    <hyperlink ref="D48" r:id="rId_hyperlink_43" tooltip="BC池北侧电缆桥架缺失盖板，电缆线皮老化破损出现漏电，操作工巡检经过触电倒地"/>
    <hyperlink ref="D49" r:id="rId_hyperlink_44" tooltip="巡检人员在清理卫生时，倒退至缝隙大的护栏处，不慎踩空从炉顶掉落地面，因头部先着地，送医院抢救无效死亡。"/>
    <hyperlink ref="D50" r:id="rId_hyperlink_45" tooltip="西三输送带在运行过程中，不慎划伤。"/>
    <hyperlink ref="D51" r:id="rId_hyperlink_46" tooltip="氧气瓶未有效固定，防倾倒措施未插好销子。"/>
    <hyperlink ref="D52" r:id="rId_hyperlink_47" tooltip="MVR现场三楼平台一接线盒无防护盖，如果一操作工巡检时右肩不慎碰到裸露在外地接线头，造成右肩烧伤住院治疗一周在家休息两周，损工三周。"/>
    <hyperlink ref="D53" r:id="rId_hyperlink_48" tooltip="4.3米脱硫脱硝配电室北墙距离地面约4米的电缆桥架上有众多泥石块，人员在下面经过时，若泥石块掉落，造成一人肩颈部砸伤"/>
    <hyperlink ref="D54" r:id="rId_hyperlink_49" tooltip="东四西过道管架上有杂物，掉落砸伤过路行人"/>
    <hyperlink ref="D55" r:id="rId_hyperlink_50" tooltip="航吊吊钩不在有效位置，在吊装在吊装设备时，造成设备脱落损伤"/>
    <hyperlink ref="D56" r:id="rId_hyperlink_51" tooltip="东三岗位一建筑胎板悬在屋顶，一旦巡检人员经过，胎板掉落造成操作工胳膊轻微擦伤，到医务室进行紫药水消毒包扎后继续工作"/>
    <hyperlink ref="D57" r:id="rId_hyperlink_52" tooltip="南脱硫熔硫釜温度表上限温度表缺失上限警示标识，如果操作不当，温度超标，造成熔硫釜损坏"/>
    <hyperlink ref="D58" r:id="rId_hyperlink_53" tooltip="南脱硫熔硫釜压力表上限警示标示缺失，如果操作不当，压力超标，造成熔硫釜损坏"/>
    <hyperlink ref="D59" r:id="rId_hyperlink_54" tooltip="新拦焦车平台下部踢档板缺失，平台上部有铁质工具，操作工不注意将工具踢到掉到下部，砸伤出炉人员，送医院救治"/>
    <hyperlink ref="D60" r:id="rId_hyperlink_55" tooltip="新拦焦车平台下部踢档板缺失，操作工将平台铁板踢入干熄罐未及时取出，造成干熄焦旋迷卡住影响出焦"/>
    <hyperlink ref="D61" r:id="rId_hyperlink_56" tooltip="一名工人在5.5米焦炉北侧用悬臂吊进行吊装作业时，下面的监护人员无故离岗，一名路过的工人没有看到上面正在进行吊装作业，由于钢丝绳断裂，该工人被掉落的吊装物砸伤"/>
    <hyperlink ref="D62" r:id="rId_hyperlink_57" tooltip="蒸铵塔再沸器管道堵，检修作业，维修人员未配带安全带不慎踩空滑落，腿部不慎损伤，及时医院治疗，休息三天正常工作。"/>
    <hyperlink ref="D63" r:id="rId_hyperlink_58" tooltip="外协施工人员在距地面高6米，一侧护栏缺失的平台上安装除尘设备时，未按规范使用安全带，如发生失足坠落，人员会导致重伤甚至死亡。"/>
    <hyperlink ref="D64" r:id="rId_hyperlink_59" tooltip="一名职工夜班在脱硫硫磺室内放硫磺的过程中，由于灯光亮度不够造成硫磺液进去硫磺盒的过程中硫磺液外溢，造成职工脚部轻微烫伤，经医务室简单处理后继续上班"/>
    <hyperlink ref="D65" r:id="rId_hyperlink_60" tooltip="一名维修人员在加酸阀门处更换法兰垫时，假如未戴防酸手套，硫酸滴在手套上就会造成渗入，从而造成手部皮肤灼伤，附近有清洗设备立即清洗后手部无碍。"/>
    <hyperlink ref="D66" r:id="rId_hyperlink_61" tooltip="筛焦楼操作工清理完焦四机头卫生返回岗位时，由于爬梯灯光昏暗，不慎踩空，从7米高的爬梯摔落，摔伤头部"/>
    <hyperlink ref="D67" r:id="rId_hyperlink_62" tooltip="东硫铵满流槽中加酸管道，因长时间使用腐蚀泄露，一名操作工巡检时，可能被喷溅出来的硫酸灼伤腿部，烧伤等级二级，住院治疗一个月，损工一个月。"/>
    <hyperlink ref="D68" r:id="rId_hyperlink_63" tooltip="澡堂西路口框架上警示灯坏"/>
    <hyperlink ref="D69" r:id="rId_hyperlink_64" tooltip="一名维修工在南脱硫2#脱硫塔煤气进口处紧固螺栓，现场脚手架踏板两头未固定，如果作业人员不小心踩到踏板一头，造成踏板倾斜，作业人员虽己按规范糸好安全带，也会发生人员坠落碰到下方脚手架造成腿部挫伤，休息五"/>
    <hyperlink ref="D70" r:id="rId_hyperlink_65" tooltip="5.5米焦炉炉顶南头东侧护栏根部多处开焊，一员工靠近护栏时，不慎从7米高的炉顶面摔落到拦焦平台，摔伤头部，送医抢救"/>
    <hyperlink ref="D71" r:id="rId_hyperlink_66" tooltip="5.5米焦炉炉门修理站升降开关破，造成漏电，一职工在准备放倒炉门清理时，没有意识到开关漏电导致自己触电，送医抢救。"/>
    <hyperlink ref="D72" r:id="rId_hyperlink_67" tooltip="MVR现场管道泵电机无防雨罩，一旦电机绝缘性能降低下雨时雨水进入电机内部烧毁电机，造成财产损失1500元。"/>
    <hyperlink ref="D73" r:id="rId_hyperlink_68" tooltip="缺氧池爬梯护栏多处开焊，操作工在缺氧池巡检下爬梯时，爬梯护栏开焊，操作工不慎从爬梯上掉下来，摔在下方的池子盖板上，"/>
    <hyperlink ref="D74" r:id="rId_hyperlink_69" tooltip="一名操作工在2#预热器巡检，未发现下液管阀门失效煤气外泄，假如未戴防毒口罩可能造成轻微煤气中毒。"/>
    <hyperlink ref="D75" r:id="rId_hyperlink_70" tooltip="一名操作人员发现热风机房地面有水，在查找漏点过程中，假如未戴防护面罩，就可能被喷出的热水烫伤面部，立即用凉水冲洗后无碍。"/>
    <hyperlink ref="D76" r:id="rId_hyperlink_71" tooltip="4号熔硫釜回流管线法兰处漏蒸汽，人员巡检时有可能被滴落的冷凝液烫伤。"/>
    <hyperlink ref="D77" r:id="rId_hyperlink_72" tooltip="因雷雨天气，雨淋后造成电机外壳带电，假设一名操作工去调节计量泵流量时触电，被另一名操作工巡检时发现，拨打120送往医院抢救无效死亡。"/>
    <hyperlink ref="D78" r:id="rId_hyperlink_73" tooltip="夜间巡检一名操作工经过此处，视线昏暗，被横在路中间的槽钢绊倒。手臂擦伤。继续上班。"/>
    <hyperlink ref="D79" r:id="rId_hyperlink_74" tooltip="深度处理加药间放盐酸阀门上方法兰漏液，酸液滴落到地面，对地面造成腐蚀，巡检及时发现，一小时内处理完毕"/>
    <hyperlink ref="D80" r:id="rId_hyperlink_75" tooltip="西五卸料筒闸板未关闭，掉落杂物砸伤过往行人"/>
    <hyperlink ref="D81" r:id="rId_hyperlink_76" tooltip="一名电焊工在焊接管道，未戴安全帽，可能导致电焊火花灼伤面部，轻微烧伤，继续上班。"/>
    <hyperlink ref="D82" r:id="rId_hyperlink_77" tooltip="一操作工在允许动火区域焊接管道时，未佩戴安全帽，一旦焊接火花过高，造成头部烫伤，去医务室进行治疗，休息2小时，继续上班."/>
    <hyperlink ref="D83" r:id="rId_hyperlink_78" tooltip="北风机初冷器前煤气管道处爬梯较窄顶部未固定，人员在爬爬梯时会发生摆动。如果一名仪表人员在爬爬梯查看仪表时，爬梯摆动过大倒塌，造成一人从爬梯摔落左小腿骨折，送医治疗三个月后康复。"/>
    <hyperlink ref="D84" r:id="rId_hyperlink_79" tooltip="东风机房一楼东侧窗户上部（一号风机煤气进口阀门下部）有一小块彩钢瓦倾斜，如果操作人员在擦窗户时彩钢瓦掉落，砸到操作人员左侧肩膀，造成左侧肩膀擦伤，轻微人身伤害，不影响工作"/>
    <hyperlink ref="D85" r:id="rId_hyperlink_80" tooltip="风机后蒸汽阀门关闭不严，如果一工作人员在夜间巡检，上下爬梯时，手臂不小心被喷出的蒸汽和蒸汽水烫伤，住院治疗五天，损工五天。"/>
    <hyperlink ref="D86" r:id="rId_hyperlink_81" tooltip="一名员工路径通廊下方，被脱落的通廊包边划伤脸部，及时送医救治，缝合3针，住院治疗7天后复工。"/>
    <hyperlink ref="D87" r:id="rId_hyperlink_82" tooltip="洗眼器出口管道开裂，假如一名操作工在操作设备时，含有百分之四的硫酸母液不慎溅入右眼中，洗眼器出口管道开裂，不能及时冲洗，造成右眼灼伤，到医院简单治疗后回家修养七天，损工七天。"/>
    <hyperlink ref="D88" r:id="rId_hyperlink_83" tooltip="一名操作人员在往液碱储槽打液碱开启泵出口阀门时，因法兰垫子老化且法兰处未加装防护罩，导致液碱喷出溅到操作人员的颈肩部，灼伤皮肤，住院治疗一周出院，限工七天。"/>
    <hyperlink ref="D89" r:id="rId_hyperlink_84" tooltip="洗脱苯南系统再生器平台护栏底部开焊，如果操作人员巡检时经过此处时护栏从2米左右高处坠落，造成操作人员肩部砸伤，在家休息三天后正常上班。"/>
    <hyperlink ref="D90" r:id="rId_hyperlink_85" tooltip="捣鼓上方煤仓腐蚀严重，一操作工行至下方时突然掉落，砸至该员工中上臂造成划伤出血。"/>
    <hyperlink ref="D91" r:id="rId_hyperlink_86" tooltip="北脱硫换热器处竖梯底部腐蚀严重，操作人员在爬爬梯时会发生晃动，如果一名操作人员上下爬梯开关阀门时，爬梯晃动厉害，操作人员从爬梯摔落至地面，会造成操作人员左小腿骨折，送医治疗三个月后康复。"/>
    <hyperlink ref="D92" r:id="rId_hyperlink_87" tooltip="两名外来人员，在按装管道中，一名员工未系安全带，地面无人监护，在转身中不慎，从管道上摔下，造成腿部骨折，住院治疗3个月出院"/>
    <hyperlink ref="D93" r:id="rId_hyperlink_88" tooltip="两名外来人员，在按装管道中，假如一名员工未系安全带，地面无人监护，在转身中不慎，从管道上摔下，造成腿部骨折，住院治疗3个月出院"/>
    <hyperlink ref="D94" r:id="rId_hyperlink_89" tooltip="物流人员清理落地焦直冲下料口，若焦仓执行器失灵焦炭下落，导致人员烫伤"/>
    <hyperlink ref="D95" r:id="rId_hyperlink_90" tooltip="一操作工在巡检下楼梯时，由于视线差不慎跌落至地，造成脚部扭伤。"/>
    <hyperlink ref="D96" r:id="rId_hyperlink_91" tooltip="操作人员在清理卫生时，因地面有积水，不小心摔倒，造成右腿断裂，送医院救治，造成损工。"/>
    <hyperlink ref="D97" r:id="rId_hyperlink_92" tooltip="筛焦楼可逆带防护栏缺失，一操作工在清扫皮带卫生时被挤伤，造成手指骨折。"/>
    <hyperlink ref="D98" r:id="rId_hyperlink_93" tooltip="焦炉地下室南4#报警仪检测值比实际值大，误报警，造成人员警惕性降低，测换人员进入焦炉地下室操作时，煤气泄漏时习惯性认为是误报警，未采取防范措施，吸入过量煤气造成CO中毒晕倒"/>
    <hyperlink ref="D99" r:id="rId_hyperlink_94" tooltip="路中间一段钢筋高出地面，操作人员经过时未注意脚下，被绊了一下，身体不稳，左手磕到墙上，造成左手掌擦伤破皮，有血痕，用碘伏消毒清理，简单包扎后继续工作。"/>
    <hyperlink ref="D100" r:id="rId_hyperlink_95" tooltip="一维修人员检修煤气管电动执行器时，失足跌入水沟，扭伤脚裸，住院治疗。"/>
    <hyperlink ref="D101" r:id="rId_hyperlink_96" tooltip="西一三号给料机底部行走轮的一边脱落，一操作人员在此处清理卫生时，砸伤脚部，造成骨折，住院三天，在家休养一个月。"/>
    <hyperlink ref="D102" r:id="rId_hyperlink_97" tooltip="西一斜桥东边彩钢瓦腐蚀脱落，一操作工行至此处，造成肩部砸伤，在家休养三天。"/>
    <hyperlink ref="D103" r:id="rId_hyperlink_98" tooltip="操作人员在清理卫生时，因地面有积水，不小心摔倒，造成右腿断裂，送医院救治，造成损工。"/>
    <hyperlink ref="D104" r:id="rId_hyperlink_99" tooltip="东硫铵废水外排处小井临时接一台潜水泵使用，但电源线接头处仅用绝缘胶带包扎未做防水处理，假设下雨的话电缆接头浸泡到水中会造成电源短路跳闸"/>
    <hyperlink ref="D105" r:id="rId_hyperlink_100" tooltip="人员站在炉门斜铁上一只手堵烟，另一只手抓炉门连杆，由于斜铁上残留少量煤粉，脚下踩滑，人员一只手未抓牢连杆，从平台上跌落，头部虽带着安全帽但受到撞击后昏迷，送医院抢救后苏醒，诊断为轻微脑震荡，住院一星期"/>
    <hyperlink ref="D106" r:id="rId_hyperlink_101" tooltip="无防雨罩，下雨可能漏电"/>
    <hyperlink ref="D107" r:id="rId_hyperlink_102" tooltip="提升倒链吊钩安全舌脱落，提升设备时，安全舌不在其位，造成安全绳脱落，设备损坏，财产损失！"/>
    <hyperlink ref="D108" r:id="rId_hyperlink_103" tooltip="彩钢房顶因长时间雨水跟环境的影响造成腐蚀，假如一名操作工在巡查岗位时，部分腐蚀的碎片掉落下来，肩部轻微造成伤害。"/>
    <hyperlink ref="D109" r:id="rId_hyperlink_104" tooltip="4.3米焦炉一名操作工到脱硝抑尘工段主风机巡检，因爬梯未固定，上下爬梯时，爬梯下滑，人员从爬梯上摔落，导致左手手臂骨折，住院治疗20天，回家休养3个月。"/>
    <hyperlink ref="D110" r:id="rId_hyperlink_105" tooltip="巡检工巡检污水井水位时由于对井篦子腐烂壮况判断不足踩在井篦子上时横梁脱落巡检工双腿插又井篦子空隙中造成伤害事故。"/>
    <hyperlink ref="D111" r:id="rId_hyperlink_106" tooltip="北风机岗位初冷器操作平台上部，2#初冷器接地线没固定好，并且没紧贴地面，假如操作人员从此处经过时有可能被拌倒，会造成人员腿部、手部或手臂轻微伤害，经医务室做简单处理后继续正常工作。"/>
    <hyperlink ref="D112" r:id="rId_hyperlink_107" tooltip="北供水5#循环泵由于长时间使用，联轴器防护罩固定螺栓发生松动，螺母掉落，造成防护罩不牢靠，起不到防护作用，如果一名操作人员在巡检或擦拭该设备时不注意，可能被联轴器伤到手，住院治疗15天康复，损工半月！"/>
    <hyperlink ref="D113" r:id="rId_hyperlink_108" tooltip="化产车间，南脱硫硫磺室，蒸汽阀门盘根漏蒸汽，如果有操作工不注意从此处经过，由于蒸汽温度过高，就有可能颈部被轻微烫伤，经医务室简单处理，职工正常工作。"/>
    <hyperlink ref="D114" r:id="rId_hyperlink_109" tooltip="因2#初冷器下段温度调节电动阀门故障，需操作上部手动阀门调节。操作工在攀爬过程中，可能会踩蹭摔倒，造成手臂，脚腕轻微伤害。经医务室简单处理，继续正常工作。"/>
    <hyperlink ref="D115" r:id="rId_hyperlink_110" tooltip="压缩二楼吊装孔在配件吊装后未及时恢复，且无警示标识，若一名巡检人员不注意，踩空跌落头部着地，造成一人死亡事故。"/>
    <hyperlink ref="D116" r:id="rId_hyperlink_111" tooltip="合成液氨储槽灌区新按装平台，未安装安全警示标识，操作工在攀爬爬梯过程中，不慎跌落地面，造成一人脚部扭伤，送医治疗确诊脚腕骨折。"/>
    <hyperlink ref="D117" r:id="rId_hyperlink_112" tooltip="1号提升机挂钩监控处灯光缺失，夜间焦罐提升时监控画面不清晰，焦罐挂耳处看不清，提升机提升时一侧挂钩未挂在挂耳中，因无灯光监控画面不清晰，主控室人员未能及时发现，造成设备损坏，耽误生产八小时。"/>
    <hyperlink ref="D118" r:id="rId_hyperlink_113" tooltip="4.3米炉顶北头放散配电箱未关闭，如果有操作人员不慎触碰到裸露的带电电器电线上，可能造成人员触电的死亡事故."/>
    <hyperlink ref="D119" r:id="rId_hyperlink_114" tooltip="行灯坏，需更换"/>
    <hyperlink ref="D120" r:id="rId_hyperlink_115" tooltip="空分工段厂房内地沟盖板移位，一名操作工在巡检过程中不慎踩到，造成脚腕扭伤。"/>
    <hyperlink ref="D121" r:id="rId_hyperlink_116" tooltip="粗苯计量槽围沿内有一口积水坑没有盖板、没有警示标识。如果一名操作工夜间进入围沿内打扫卫生时不注意，可能迈入坑内造成腿部轻微擦伤，到医务室处理后继续正常工作。"/>
    <hyperlink ref="D122" r:id="rId_hyperlink_117" tooltip="脱硫泵东侧收集脱硫液的小井盖板未盖，操作工夜间巡检到此处时，由于照明不良，不慎踏入小井，造成左脚扭伤，左手擦伤。"/>
    <hyperlink ref="D123" r:id="rId_hyperlink_118" tooltip="粗苯紧急切断阀穿线管断裂，线路裸露，日晒雨淋导致线路老化、断裂，紧急切断阀失去控制信号不起作用，自动关闭无法打开"/>
    <hyperlink ref="D124" r:id="rId_hyperlink_119" tooltip="废水池无盖板无遮拦，假如一名操作工在夜间操作抽水时，左脚不慎落入池中，造成脚部腐蚀"/>
    <hyperlink ref="D125" r:id="rId_hyperlink_120" tooltip="粗苯操作室内一名操作工值守，使用非防爆型大功率电器，短路跳闸导致监控设备损坏！"/>
    <hyperlink ref="D126" r:id="rId_hyperlink_121" tooltip="4.3米脱离脱硝一电缆放置在电机联轴器的转动轴上，如果操作人员不慎触碰到被电机磨破的电缆上，造成人员触电的死亡事故"/>
    <hyperlink ref="D127" r:id="rId_hyperlink_122" tooltip="超滤排水沟盖板缺失，中夜班视线差，来回巡检不慎踩空"/>
    <hyperlink ref="D128" r:id="rId_hyperlink_123" tooltip="5.5米焦炉拦焦车前头堵烟用的梯子出护栏开焊，一员工靠近护栏时，不慎从上面摔落，摔伤头部，送医抢救"/>
    <hyperlink ref="D129" r:id="rId_hyperlink_124" tooltip="一员工到此平台堵烟时，由于底部铁板腐蚀严重，不负载重，人员从平台跌落地面，摔伤头部，紧急送医。"/>
    <hyperlink ref="D130" r:id="rId_hyperlink_125" tooltip="转化循环水配电室配电盘挡雨板未及时撤除，当操作工巡检或开停水泵启用关闭按钮时，由于劳保防护不当及作业环境未辩识到位，不慎将面部划伤，送医救治。"/>
    <hyperlink ref="D131" r:id="rId_hyperlink_126" tooltip="空分液氧贮槽汽化器入口法兰连接处四氟垫破裂，液氧泄漏。维修工在处置过程中因防护不当，不慎造成左手冻伤。"/>
    <hyperlink ref="D132" r:id="rId_hyperlink_127" tooltip="地磅路面破损的钢筋裸露，载货车经过被钢筋扎带爆胎，飞起石子将经过的一名转化巡检人员面部击伤。"/>
    <hyperlink ref="D133" r:id="rId_hyperlink_128" tooltip="转化炉爬梯警示牌悬挂在踏步上，操作人员上爬梯时，踏步狭窄，不小心踩空跌落到平台上，造成小腿磕碰淤青"/>
    <hyperlink ref="D134" r:id="rId_hyperlink_129" tooltip="电动葫芦挂钩滑轮在吊装货物时，因滑轮质量问题，被钢丝绳割裂。"/>
    <hyperlink ref="D135" r:id="rId_hyperlink_130" tooltip="由于余热回收器是高温设备，没有在未保温位置悬挂防烫伤警示牌，一名操作工在巡检时不慎烫伤手臂，造成轻微烫伤。"/>
    <hyperlink ref="D136" r:id="rId_hyperlink_131" tooltip="2号压缩机电机处防护篦子缺失，巡检人员巡检时踏空跌落，造成一条腿受伤。"/>
    <hyperlink ref="D137" r:id="rId_hyperlink_132" tooltip="压缩机房2#空压机接地线断裂，假如操作工在开停机的作业活动中，一旦接地线失去作用，集聚的静电可能导致操作工触电。操作工会身体颤动，休息十分钟，继续工作。"/>
    <hyperlink ref="D138" r:id="rId_hyperlink_133" tooltip="碳化岗位回收塔与碳化塔之间的护栏未归位，操作工巡检到此处，不慎被斜放的护栏绊倒"/>
    <hyperlink ref="D139" r:id="rId_hyperlink_134" tooltip="由于余热回收器蒸汽倒淋地沟铁盖板无把手，一操作工取样时不慎手部烫伤，立即送医务室。"/>
    <hyperlink ref="D140" r:id="rId_hyperlink_135" tooltip="包装间盛下脚料的箱子严重变形，下班后操作工在更换袋子时，劳保防护不当，不慎被三角铁划伤右手"/>
    <hyperlink ref="D141" r:id="rId_hyperlink_136" tooltip="南风机水封槽处灯泡坏，假设中夜班巡检人员对此处进行巡检，未带手电筒，可能会被水封槽处管线绊倒，造成腿部受伤，送医检查小腿骨折，损工两个月。"/>
    <hyperlink ref="D142" r:id="rId_hyperlink_137" tooltip="合成塔在升温时，使用电炉，因天气原因，风大有雨。合成塔顶部电炉丝接线柱防护罩滑轮未有效固定，被风吹动滑向一侧，失去防雨作用，雨水淋湿接线柱，造成短路，电炉丝跳闸，接线柱烧坏，造成设备损坏和生产系统停车"/>
    <hyperlink ref="D143" r:id="rId_hyperlink_138" tooltip="老化学水池爬梯顶部平台锈蚀破损，人员行至此处巡检时，可能发生踩空摔伤事故"/>
    <hyperlink ref="D144" r:id="rId_hyperlink_139" tooltip="冷渣机南墙电缆进配电室穿墙处未封堵，如有老鼠等进入配电室，可致电缆咬损，突然停电，锅炉停运"/>
    <hyperlink ref="D145" r:id="rId_hyperlink_140" tooltip="超滤水箱东侧地沟盖板覆盖不全，可致人员跌落"/>
    <hyperlink ref="D146" r:id="rId_hyperlink_141" tooltip="夜间岗位人员巡检时，途径压缩机平台处，一平台未复位，巡检工掉入平台下"/>
    <hyperlink ref="D147" r:id="rId_hyperlink_142" tooltip="由于废气油缸底座松动，长时间换向过程中致使油缸掉落，造成废气无法交换，恢复正常需要四个小时维修时间。"/>
    <hyperlink ref="D148" r:id="rId_hyperlink_143" tooltip="小皮带排焦运行过程中，一巡检人员清理地面散落焦炭至小皮带时，由于缺少护栏防护措施，衣服袖口卷入托辊里导致手部挤伤，送医院治疗，手部骨折损工三个月。"/>
    <hyperlink ref="D149" r:id="rId_hyperlink_144" tooltip="如果一名精脱巡检工巡检时，当不慎踩入地沟内，左小腿流血送医院治疗，体养3天。"/>
    <hyperlink ref="D150" r:id="rId_hyperlink_145" tooltip="脱硫岗位泡沫泵处泡沫回收小井未有盖板，当维修人员在修泵时，造成人员掉入回收小井，致使大腿扭伤。"/>
    <hyperlink ref="D151" r:id="rId_hyperlink_146" tooltip="离心晶分池盖板未盖，当操作工巡检到该部位，左脚被盖板绊倒，造成手部损伤，损工一周。"/>
    <hyperlink ref="D152" r:id="rId_hyperlink_147" tooltip="泡沫泵处泡沫回收小井无盖板，当维修人员修泵时，一人掉入小井，造成成腿部扭伤。"/>
    <hyperlink ref="D153" r:id="rId_hyperlink_148" tooltip="碳化塔行吊吊钩上钢丝绳未及时撤除，一名碳化工经此处巡检时因大风将吊钩上钢丝绳刮下砸伤巡检工。立即送往医务室治疗"/>
    <hyperlink ref="D154" r:id="rId_hyperlink_149" tooltip="精脱硫塔爬梯护栏开焊，一操作人员爬塔操作，因失误后仰，造成高处坠落，一人损工事故。"/>
    <hyperlink ref="D155" r:id="rId_hyperlink_150" tooltip="沉淀槽人孔盖板没有盖好，1名操作工操作时不慎单脚滑落人孔中，造成大腿骨裂，手臂擦伤，医院就诊治疗7天，休养100天"/>
    <hyperlink ref="D156" r:id="rId_hyperlink_151" tooltip="浓氨槽乳胶管老化，当操作工取样分析浓氨水时，氨水溅入眼内，灼伤眼睛，送医院治疗。"/>
    <hyperlink ref="D157" r:id="rId_hyperlink_152" tooltip="碳铵离心岗位晶分池人孔盖未盖，当操作工巡检到该区域时，不慎被人孔盖绊倒，造成左脚损伤，损工一周。"/>
    <hyperlink ref="D158" r:id="rId_hyperlink_153" tooltip="4.3米焦一机尾上部通廊墙体破损60公分，破损部位到通廊底部落差8米且有积水30公分，夜晚照明情况不良，巡检人员巡检此处时不慎跌落，身体受到撞击无法及时起身，被下部积水淹溺窒息死亡。"/>
    <hyperlink ref="D159" r:id="rId_hyperlink_154" tooltip="码垛机托盘放置过高，一巡检工在巡检过程中托盘掉落将巡检工背部轻微砸伤。"/>
    <hyperlink ref="D160" r:id="rId_hyperlink_155" tooltip="4.3米脱硫脱硝烟道人孔未封进行配风，内部高温烟气且负压较大，人员靠近观察，手部伸至人孔口时手部及上肢被吸入烟道，手部及上肢被高温烫伤，送医治疗。"/>
    <hyperlink ref="D161" r:id="rId_hyperlink_156" tooltip="4.3米脱硫脱硝烟道人孔未封进行配风，人孔封盖（离地1.5米）用单只螺丝悬挂，人员巡检至此处时，螺丝断裂，封盖脱落砸伤巡检人员右脚，送医治疗，脚面骨折。"/>
    <hyperlink ref="D162" r:id="rId_hyperlink_157" tooltip="在环境除尘顶部，更换5号灰仓布袋，操作工扶北侧护栏，由于护栏开焊，不慎掉到二层平台，约10米高，造成人员当场死亡。"/>
    <hyperlink ref="D163" r:id="rId_hyperlink_158" tooltip="由于凝结水泵电机接线盒电线裸露，一巡检工在测电机振动时，不慎触碰裸露电线，触电倒地，经现场心肺复苏并送医院抢救无效，造成一人死亡事故。"/>
    <hyperlink ref="D164" r:id="rId_hyperlink_159" tooltip="保运维修班西侧地沟盖板断裂，假如中夜班期间，巡检人员未带手电筒从此处经过，可能会脚部踩空造成小腿轻微擦伤，简单处理后复工，不影响生产。"/>
    <hyperlink ref="D165" r:id="rId_hyperlink_160" tooltip="由于压缩楼前的过面龙门架上未按装限高标志，有可能过高车辆通过时，刮坏设备管道。"/>
    <hyperlink ref="D166" r:id="rId_hyperlink_161" tooltip="由于压缩楼前的过面龙门架上未按装限高标志，有可能过高车辆通过时，刮坏设备管道。"/>
    <hyperlink ref="D167" r:id="rId_hyperlink_162" tooltip="护栏下部栏杆固定位置开焊，起不到应有的保护作用，人员有失足坠落风险。"/>
    <hyperlink ref="D168" r:id="rId_hyperlink_163" tooltip="转化离心风机联轴器胶塞磨损严重，机体剧烈振动，噪音增大。"/>
    <hyperlink ref="D169" r:id="rId_hyperlink_164" tooltip="柴油机消防泵电磁铁钢丝拉绳损坏，停电期间无法正常启动，如发生火灾会造成重大财产损失。"/>
    <hyperlink ref="D170" r:id="rId_hyperlink_165" tooltip="精炼工段换热器设备支撑腐蚀严重，该设备在冷排北侧，受冷排水汽影响如果继续腐蚀，会造成设备支撑损坏。支撑损坏会造成换热器设备歪倒牵扯损坏管线，精炼液外溢，造成环保事故。"/>
    <hyperlink ref="D171" r:id="rId_hyperlink_166" tooltip="操作工在打开盖板清理杂物后，未将地沟盖板恢复，造成一名巡检工在巡检时掉入地沟，致使该巡检工小腿部划伤，送医务室处理后，立即复工。"/>
    <hyperlink ref="D172" r:id="rId_hyperlink_167" tooltip="巡检人员经常检查巡循环水位高低，巡检时，因排水管高于地面二十cm，且无警示标志，被水管拌倒，扭伤脚踝，休工一周。"/>
    <hyperlink ref="D173" r:id="rId_hyperlink_168" tooltip="碳化塔顶外部操作平台护栏缺失，一名操作工靠近此处不慎坠落，造成头部摔伤，及时送医院救治。"/>
    <hyperlink ref="D174" r:id="rId_hyperlink_169" tooltip="4.3米焦炉地下室北头换向链条上方倾斜处有一水泥块，没有及时清理，存在掉落风险，若人员在下方行走、作业，被掉落水泥块砸中后脑部，会导致人员重伤死亡。"/>
    <hyperlink ref="D175" r:id="rId_hyperlink_170" tooltip="转化工段地沟盖板未盖，一名操作人员夜间巡检跨越地沟因光线不好，脚部陷入地沟造成脚部扭伤。"/>
    <hyperlink ref="D176" r:id="rId_hyperlink_171" tooltip="循环水泵房内1号循环水泵轴流风扇电缆线铺设不规范，一名员工巡检至此时，不慎绊倒，膝盖破皮，去医务室简单处理。"/>
    <hyperlink ref="D177" r:id="rId_hyperlink_172" tooltip="转化工段地沟盖板未盖，一名操作人员夜间巡检跨越地沟因光线不好，掉入地沟造成脚踝扭伤。"/>
    <hyperlink ref="D178" r:id="rId_hyperlink_173" tooltip="氨水循环泵电机线缆未平铺到地面，一名操作工巡检时被其绊倒，皮肤外皮擦伤，医务室就医。"/>
    <hyperlink ref="D179" r:id="rId_hyperlink_174" tooltip="干熄焦地下室冷焦带护栏检修后末按装恢复，一巡检人员巡检时，右手不慎碰触到旋转的托辊，右手手背被托辊和冷焦带挤伤，经简单抱扎后正常工作。"/>
    <hyperlink ref="D180" r:id="rId_hyperlink_175" tooltip="预处理污泥泵房，污泥泵防护罩未在有效位置，室内管线混乱，操作人员在巡检时由于地面湿滑，导致仰面跌倒，手肘着地，造成右手尺骨骨折，损工44天。"/>
    <hyperlink ref="D181" r:id="rId_hyperlink_176" tooltip="转化离心风机联轴器胶塞磨损严重，机体剧烈振动，噪音增大，如果处理不及时会导致电机损坏，风机停运，系统停车，影响生产。"/>
    <hyperlink ref="D182" r:id="rId_hyperlink_177" tooltip="酸碱罐围堰深一米半，无爬梯，操作工进池内巡检设备，打扫卫生，攀爬围堰时不慎跌倒，造成:脚腕扭伤，需休息一天的误工损伤事故"/>
    <hyperlink ref="D183" r:id="rId_hyperlink_178" tooltip="1万m³气柜水槽溢水口水渠盖板缺失，夜间视线差，巡检工开阀门时，右脚踩空扭伤脚踝，休假3天。"/>
    <hyperlink ref="D184" r:id="rId_hyperlink_179" tooltip="化工厂压缩岗位北管架支撑处有钢绞线掉落，如果行人经过此处因钢绞线细不易发现，容易被刮伤。"/>
    <hyperlink ref="D185" r:id="rId_hyperlink_180" tooltip="脱硫泵1号泵处小井井盖未盖严，一名巡检人员夜间巡检银光线不好不慎踏空，造成腿部擦伤。"/>
    <hyperlink ref="D186" r:id="rId_hyperlink_181" tooltip="停车场北地面有坑未整平盖网，当一名操作工打扫卫生清理树叶时踩入坑内，不慎将脚踝扭伤。"/>
    <hyperlink ref="D187" r:id="rId_hyperlink_182" tooltip="生产过程中，一铲车在准备驶出5号门时，将门外横向经过的电动车撞翻，造成电动车驾驶人员右侧肩部受伤，送医确诊为右侧锁骨骨折，住院治疗二十天，回家休养三个月后复工。"/>
    <hyperlink ref="D188" r:id="rId_hyperlink_183" tooltip="在出现干熄焦汽轮机设备故障停机时，因单人操作，无法同步操作以及排查故障和在主控室操作手忙脚乱，引发更大的设备事故甚至人员伤害"/>
    <hyperlink ref="D189" r:id="rId_hyperlink_184" tooltip="脱碳驰放气放空拉线无警示牌，巡检人员在巡检过程中被拉线划伤。"/>
    <hyperlink ref="D190" r:id="rId_hyperlink_185" tooltip="一名操作工，巡检时，氧气瓶倾倒，砸中脚面，造成该操作工脚面骨折。"/>
    <hyperlink ref="D191" r:id="rId_hyperlink_186" tooltip="由于空分循环水池循补水阀悬挂一F扳手，一名操作工巡检到此处时，扳手不慎掉落砸到了这名操作工的脚上，造成该操作工脚面骨折。"/>
    <hyperlink ref="D192" r:id="rId_hyperlink_187" tooltip="照明灯固定螺丝松动已向下倾斜，照明灯的底座支架腐蚀严重，一名巡检人员从此处通过检查焦罐衬板，如果固定照明灯螺丝断，掉落砸伤人员后背，去医务室简单包扎后上班。"/>
    <hyperlink ref="D193" r:id="rId_hyperlink_188" tooltip="5#电解水处理器有故障，保运人员拆卸后，经确认不能短时间内修复，维修用支架没有及时撤走，一名操作工巡检时拨巡检指针，不慎被地面支架座绊倒，左胳膊脱臼，入院治疗，休息五日，无损工。"/>
    <hyperlink ref="D194" r:id="rId_hyperlink_189" tooltip="射水箱爬梯无护笼，箱顶距地面3米，一员工巡检至水箱顶部反身下爬梯时，双手未抓牢跌落，臀部着地，造成尾椎骨骨折，损工三个月。"/>
    <hyperlink ref="D195" r:id="rId_hyperlink_190" tooltip="1号厂变室内轴流风扇控制线电缆破损电压为380伏，一名人员在未断开电源时违章操作擦拭轴流风扇造成触电死亡"/>
    <hyperlink ref="D196" r:id="rId_hyperlink_191" tooltip="东风机1#电捕焦油器二层平台东南角处铁板腐蚀严重，如果一名操作人员在去关1#电捕出口阀门经过该处铁板时，铁板被踩破裂，造成一人左小腿掉入破裂铁板多处轻度划伤，送医进行包扎休息三天后复工。"/>
    <hyperlink ref="D197" r:id="rId_hyperlink_192" tooltip="东风机2#电捕焦油器二层平台西侧人孔下部铁板腐蚀严重，如果一名维修人员在维修电捕拆卸人孔螺栓时，右腿踩到腐蚀严重的铁板上掉入铁板缝隙中，造成一人右小腿多处轻度划伤，送医进行包扎休息三天后复工。"/>
    <hyperlink ref="D198" r:id="rId_hyperlink_193" tooltip="地下室潜水泵电源线裸露，一名员工在冲洗地下室，水溅起喷落到裸露电线处导致连电，造成人员腿部处被电击穿，住院治疗，损工二个月。"/>
    <hyperlink ref="D199" r:id="rId_hyperlink_194" tooltip="维修冰机时，一人未佩戴防护面具，如有氨气泄露，易刺激口、鼻、眼"/>
    <hyperlink ref="D200" r:id="rId_hyperlink_195" tooltip="初冷器平台3号初冷器接地线翘起，一名操作工在夜间冲洗初冷器经过此处时，不慎绊倒，造成操作工左手腕扭伤，在家休班一天的损工事故"/>
    <hyperlink ref="D201" r:id="rId_hyperlink_196" tooltip="三万气柜入口一个置换阀门法兰处螺丝松动漏气，一名操作人员巡检路过时中毒晕倒"/>
    <hyperlink ref="D202" r:id="rId_hyperlink_197" tooltip="脱硫泡沫泵操作伐附近地面一废槽钢高出地面约五厘米，当操作人员去操作伐门时不慎绊倒，造成右手腕轻微损伤。"/>
    <hyperlink ref="D203" r:id="rId_hyperlink_198" tooltip="北脱硫工段循环槽附近雨水收集坑未盖好盖板，假如一名操作人员夜间巡检因光线不好从此处经过时，操作人员不慎掉入雨水收集坑，造成脚腕扭伤，经简单处理后不影响工作。"/>
    <hyperlink ref="D204" r:id="rId_hyperlink_199" tooltip="焦三通廊入口旁有铁板，如果一名巡检工在巡检时不慎被铁板所拌，身体前倾，会造成脸部碰地擦伤，送医疗养四天后出院上班。"/>
    <hyperlink ref="D205" r:id="rId_hyperlink_200" tooltip="打氧化剂泵子电机无接地线，接线套管未符合规定，操作人员在正常巡检设备运转情况时，因电机外壳漏电，操作人员在未带防护手套的情况下，导致右手手掌灼伤，右手手臂麻木无力，限工一天后复工"/>
    <hyperlink ref="D206" r:id="rId_hyperlink_201" tooltip="掺配站皮带电机护罩破损，操作人员进行掺配作业时，因用力过猛将手深入破损窟窿内，被电机叶轮打伤手部，致使右手食指和中指骨折，住院治疗一个月，在家休养三个员，造成一人损工事故"/>
    <hyperlink ref="D207" r:id="rId_hyperlink_202" tooltip="操作人员在巡检中被高压氨水泵降温的轴流风扇触电，被岗位人员及时发现，迅速切断电源使伤者尽快脱离电源，操作人员在未带防护情况下手臂被击伤，住院治疗，损工一个月。"/>
    <hyperlink ref="D208" r:id="rId_hyperlink_203" tooltip="送煤掉前头，拦焦一名操作人员在扒煤过程中，被高处再次跌落的煤饼砸中头部，送医抢救无效死亡。"/>
    <hyperlink ref="D209" r:id="rId_hyperlink_204" tooltip="5.5米熄焦池附近材钢瓦混乱，夜班人员经过视线不好万一绊倒手部着地造成人员手部骨折，住院治疗半月，回家修养二月的埙工事件。"/>
    <hyperlink ref="D210" r:id="rId_hyperlink_205" tooltip="炉顶南端水管未整理"/>
    <hyperlink ref="D211" r:id="rId_hyperlink_206" tooltip="南化产2#脱硫塔中上部约25米处爬梯腐蚀严重，平台变薄破裂，立柱根部开裂，岗位人员虚巡检时，一旦护栏断裂，从25米的高处坠落，造成1人死亡事故。"/>
    <hyperlink ref="D212" r:id="rId_hyperlink_207" tooltip="操作工在放炉门准备清理过程中，炉门突然跌落，砸伤1人，送医抢救无效死亡。"/>
    <hyperlink ref="D213" r:id="rId_hyperlink_208" tooltip="15#炉门衡栓不到位，炉门意外掉落，砸伤一名在此干活的员工，随即送医抢救无效死亡"/>
    <hyperlink ref="D214" r:id="rId_hyperlink_209" tooltip="南凉水架平顶紧固螺栓腐蚀脱落，假如一名操作工巡检到此处时，不小心绊倒，左胳膊擦伤，到医务室简单处理，无损工，正常上班。"/>
    <hyperlink ref="D215" r:id="rId_hyperlink_210" tooltip="西硫铵四楼西后窗户因长年使用，窗户内挂件被腐蚀坏，如果大风天气一名操作工在四楼屋内擦拭玻璃时，人员可能会被大风刮落的窗户勾住衣服，造成人员跟窗户一并坠落，事故造成一人死亡"/>
    <hyperlink ref="D216" r:id="rId_hyperlink_211" tooltip="循环风机降温风扇电缆接头未安装防护套管，巡检人员清理降温风扇积灰时，手臂碰到电缆接头造成人员触电，经抢救无效死亡。"/>
    <hyperlink ref="D217" r:id="rId_hyperlink_212" tooltip="主控楼楼顶门杆漏汽管道支撑架脱出，长时间运行管道蠕变、造成管道破裂。一操作工巡检至此处时被蒸汽烫伤左小腿，送医治疗。"/>
    <hyperlink ref="D218" r:id="rId_hyperlink_213" tooltip="中间水池液位计电缆未固定悬空，一员工巡检至中间水池不慎被电缆绊倒，导致膝盖及手臂皮肤破损，送医治疗无损工"/>
    <hyperlink ref="D219" r:id="rId_hyperlink_214" tooltip="北化产综合供水配电室配电盘后电缆沟盖板缺失，当一名电工巡检时，不慎左腿掉入电缆沟，造成左腿脚踝扭伤，去医务室上药包扎后回家休养7天，恢复后复工，损工七天。"/>
    <hyperlink ref="D220" r:id="rId_hyperlink_215" tooltip="五号减温减压分汽缸处阀门保温缺失，一员工在作业过程中，右手臂被约300℃蒸汽阀体烫伤，送医救治，经医院诊断为浅二度烫伤，治疗两天，回家休养五天。"/>
    <hyperlink ref="D221" r:id="rId_hyperlink_216" tooltip="巡检通廊高度2米，台阶踏板宽度5厘米，一名员工巡检至主控楼楼顶时，踩踏台阶踏板，踏板过窄，重心不稳，人员跌落，尾椎处与地面发生碰撞"/>
    <hyperlink ref="D222" r:id="rId_hyperlink_217" tooltip="干熄炉四层平台铁板翘起，一名员工巡检至此时，被铁板绊倒，造成右脚脚踝扭伤"/>
    <hyperlink ref="D223" r:id="rId_hyperlink_218" tooltip="一员工在开五号减温减压东侧管道阀门时，因缺少必要的踩踏物，脚底打滑不甚从6米管道处跌落，头部着地，送医治疗抢救无效死亡"/>
    <hyperlink ref="D224" r:id="rId_hyperlink_219" tooltip="巡检人员巡检环境除尘时，由于缺少护栏，不慎从8米高处平台跌落至地面，头部着地，当场死亡"/>
    <hyperlink ref="D225" r:id="rId_hyperlink_220" tooltip="5#减温减压无跨越爬梯，一操作人员在跨越减温减压进入西侧调节减温水时，不慎滑跌，造成右脚扭伤，送医救治诊断为右脚踝脱臼，住院治疗3天，回家休息30天。"/>
    <hyperlink ref="D226" r:id="rId_hyperlink_221" tooltip="5号减温减压蒸汽管道未设巡检通廊，一名员工巡检减温水泵翻越管道时，不慎踩蹭，从管道上当后仰跌落，头枕部碰到阀门，送医治疗，因脑干损伤，抢救无效死亡。"/>
    <hyperlink ref="D227" r:id="rId_hyperlink_222" tooltip="装入装置水封槽处盖板未固定且缝隙大，一名员工挖水封槽时，盖板活动，不慎右脚卡入缝隙内，右脚踝骨折。"/>
    <hyperlink ref="D228" r:id="rId_hyperlink_223" tooltip="操作工在清理除尘水箱湿焦末时，将湿焦末洒落在拦焦滑轨上，造成短路，导致滑轨打断，1#站配电室跳闸。"/>
    <hyperlink ref="D229" r:id="rId_hyperlink_224" tooltip="干熄炉二层地面铁板翘起，一巡检人员夜间巡检时未察觉，被翘起的铁板绊倒，膝盖着地，送医救治，确诊为左侧膝盖骨骨裂，治疗7天，修养3个月后恢复工作。"/>
    <hyperlink ref="D230" r:id="rId_hyperlink_225" tooltip="一名除盐水操作人员在夜间巡检至浓水设备中间水箱时被高出地面30公分的信号缆绊倒，导致膝盖出血，右臂骨折。"/>
    <hyperlink ref="D231" r:id="rId_hyperlink_226" tooltip="5.5米焦炉集气管顶部南头有一束信号线缆裸露，下雨连电影响信号传输。"/>
    <hyperlink ref="D232" r:id="rId_hyperlink_227" tooltip="一名操作工在巡检时发现原西风机房东侧蒸汽管道泄漏，无安全警示牌，一旦有人经过，就会造成操作工右手臂烫伤，送医务室上药、消毒，不影响工作，正常上班。"/>
    <hyperlink ref="D233" r:id="rId_hyperlink_228" tooltip="作废"/>
    <hyperlink ref="D234" r:id="rId_hyperlink_229" tooltip="集气管平台护栏上部缺失，一名操作工在清理桥管时用力不当、重心不稳，从3米高平台摔落炉顶面，右腿部与炉面发生碰撞，造成右腿骨折"/>
    <hyperlink ref="D235" r:id="rId_hyperlink_230" tooltip="夏季雨水多，干熄车配电室和空压机房顶局部漏水厉害，造成电器短路导致电器设备损坏，影响正常生产。"/>
    <hyperlink ref="D236" r:id="rId_hyperlink_231" tooltip="装煤车顶部平台有一缺口，若一操作工在平煤时经过此处，恰巧脚入缺口绊倒，左手部与铁板发生碰撞，造成左手部骨折。"/>
    <hyperlink ref="D237" r:id="rId_hyperlink_232" tooltip="水熄车平台护栏立柱底端腐蚀严重，已成断裂状态，一操作工在此干活时，不慎跌落至4米下的地面，且头部磕在熄焦道轨上，将伤者紧急送医，抢救无效死亡"/>
    <hyperlink ref="D238" r:id="rId_hyperlink_233" tooltip="炉顶46号上升管盖，放置一铁管，若一名炉顶工在打盖时，铁管从上升管落下，正好砸中炉顶工右肩部，造成右肩部骨折"/>
    <hyperlink ref="D239" r:id="rId_hyperlink_234" tooltip="一名巡检工在焦4通廊巡检时，突然被一块腐蚀的盖扳掉下来砸倒，导致腰椎错位，及时送往医院。"/>
    <hyperlink ref="D240" r:id="rId_hyperlink_235" tooltip="炉顶旋臂吊电缆管子脱节，电缆外漏氧化电线打火，烧坏电机"/>
    <hyperlink ref="D241" r:id="rId_hyperlink_236" tooltip="粗苯区域煤气取样管道与固定支撑腐蚀断裂，假如化验人员在取煤气样时因煤气管道固定不老造成煤气管道断裂2名化验人员煤气中毒，送医院治疗2天后正常上班"/>
    <hyperlink ref="D242" r:id="rId_hyperlink_237" tooltip="炉顶操作人员操作过程中，由于未发现护栏开焊，不慎坠落地面，头部着地，造成人身伤害！"/>
    <hyperlink ref="D243" r:id="rId_hyperlink_238" tooltip="机侧除尘提升机爬梯腐蚀严重，操作工巡检时踏空坠落，造成脚踝扭伤，就医治疗。"/>
    <hyperlink ref="D244" r:id="rId_hyperlink_239" tooltip="施工人员安全带低挂高用，如果脚底打滑踏空，坠落至滑轴线上触电昏迷不醒，送医抢救。"/>
    <hyperlink ref="D245" r:id="rId_hyperlink_240" tooltip="烟囱西端，夜间操作人员打扫卫生时，由于视线不好未发现铁架被绊倒，造成小腿受伤，送医救治！"/>
    <hyperlink ref="D246" r:id="rId_hyperlink_241" tooltip="焦炉机侧生产现场备件摆放杂乱，操作工清理卫生时不慎拌倒磕伤头部，造成伤害。"/>
    <hyperlink ref="D247" r:id="rId_hyperlink_242" tooltip="操作工更换除尘布袋时，由于护栏开焊不慎坠落高约五米的车辆平台，造成伤害"/>
    <hyperlink ref="D248" r:id="rId_hyperlink_243" tooltip="按装推焦车车载除尘场地货物杂乱，无明显警示标志，一名职工从此处行走时被杂物绊倒摔在铁件上，至面部等多处受伤。"/>
    <hyperlink ref="D249" r:id="rId_hyperlink_244" tooltip="南风机2#初冷器检修时，一名外来施工人员安全带使用不规范存在低挂高用，如果检修过程中不慎脚下踩空掉落，安全带起到保护作用，但因安全带低挂高用造成小腿骨折，精神受到惊吓，送医院治疗包扎后在家休养3个月"/>
    <hyperlink ref="D250" r:id="rId_hyperlink_245" tooltip="一巡检人员巡检至5号减温减压一层平台时，由于护栏底部腐蚀断裂，巡检人员扶空，导致从3米高平台坠落至地面，送医治疗。"/>
    <hyperlink ref="D251" r:id="rId_hyperlink_246" tooltip="一人员行至二楼爬梯时，由于护栏开焊断裂，巡检人员扶空左腿失去重心滑倒跌至二楼平台，送医治疗。"/>
    <hyperlink ref="D252" r:id="rId_hyperlink_247" tooltip="二级反渗透进水管管道井口未封盖，一员工清扫卫生时未注意脚下，不慎踩空坠落井口，导致右侧小腿骨折，送医治疗一个月，休养三个月"/>
    <hyperlink ref="D253" r:id="rId_hyperlink_248" tooltip="一次除尘顶部西侧电线穿线管高于平台20公分，若夜间巡检人员巡检时被绊倒，右膝盖着地造成轻微擦伤，送医务室消毒后继续工作"/>
    <hyperlink ref="D254" r:id="rId_hyperlink_249" tooltip="一次除尘放灰操作盘盖子锈蚀掉落，雨天操作盘无盖进水，操作盘电压380伏，操作工操作开关时，造成触电身亡。"/>
    <hyperlink ref="D255" r:id="rId_hyperlink_250" tooltip="东二钎子，一操作工途径时被钎子绊倒，致右腿轻微擦伤，送医包扎处理，回家休养三天，损工三天"/>
    <hyperlink ref="D256" r:id="rId_hyperlink_251" tooltip="东二工具乱摆乱放，有一操作工在巡检被纤子绊倒，造成人身伤害。"/>
    <hyperlink ref="D257" r:id="rId_hyperlink_252" tooltip="东二钎子，操作工在途径时容易被纤子绊倒，造成人员伤害。"/>
    <hyperlink ref="D258" r:id="rId_hyperlink_253" tooltip="一名员工在巡检除氧器时，由于铁板腐蚀严重，一脚踏在腐蚀严重的平台铁板上，操作工左腿掉入平台底部，造成左脚脚踝骨折，送医后住院治疗"/>
    <hyperlink ref="D259" r:id="rId_hyperlink_254" tooltip="汽轮机房三楼平台至主控楼楼顶楼梯台阶无防滑条，一名员工巡检过程中下楼梯时，脚底打滑跌倒，造成左脚脚踝扭伤，送医治疗。"/>
    <hyperlink ref="D260" r:id="rId_hyperlink_255" tooltip="一次水池西侧地沟盖板缺失，地沟深度1米，一名员工巡检一次水池西侧时，右脚不慎踩入地沟，身体倾斜，致使右侧肋骨处与地沟檐发生碰撞，造成右侧两根肋骨骨折，送医治疗。"/>
    <hyperlink ref="D261" r:id="rId_hyperlink_256" tooltip="一操作工下地下室时，因爬梯未安装防滑条，操作工脚底打滑，不慎从四米高爬梯摔落至下方地面，送医救治，诊断为左小腿骨折，住院治疗20天，休养三个月。"/>
    <hyperlink ref="D262" r:id="rId_hyperlink_257" tooltip="高压配电室母联柜在线测温装置温度显示异常，员工巡查设备时无法判定触头温度是否正常，如温度过高发生断路器触头烧损，会引起设备停电造成财产损失。"/>
    <hyperlink ref="D263" r:id="rId_hyperlink_258" tooltip="西侧管架管线铝皮严重松动，遇大风天气，一名职工从附近经过，铝皮被风刮落砸到职工头上，脸部皮肤被铝皮轻微划伤，送医包扎。"/>
    <hyperlink ref="D264" r:id="rId_hyperlink_259" tooltip="干熄焦巡检工到加药间巡检时，经过门口时由于斜铁障碍，不慎绊倒，造成面部擦伤，上肢骨折，送医院治疗。"/>
    <hyperlink ref="D265" r:id="rId_hyperlink_260" tooltip="因提升机七层东侧护栏踢脚板开焊，起不到防护作用，一巡检工夜间巡检时经过此处，不慎将一铁件从护栏开焊处踢落，铁件从36米高处坠落将下方行人头部砸伤，送医院抢救无效死亡。"/>
    <hyperlink ref="D266" r:id="rId_hyperlink_261" tooltip="循环水冷却塔爬梯无防滑条，冷却塔地面湿滑，爬梯陡  高，一员工在巡检过程中从此经过，脚底打滑 不慎从四米高处跌落地面，送医救治  诊断为右脚脚踝处骨折，住院20天  休养三个月  损工110天 。"/>
    <hyperlink ref="D267" r:id="rId_hyperlink_262" tooltip="西硫铵东管架，管道腐蚀漏水，操作工巡查时由于路面湿滑不小心滑倒轻微扭伤，休息后不影响上班"/>
    <hyperlink ref="D268" r:id="rId_hyperlink_263" tooltip="焦油罐区域内管架腐蚀角钢开裂脱落，操作工在巡查时，角钢脱落砸伤脚趾，医院包扎治疗后回家休养5天，损工5天"/>
    <hyperlink ref="D269" r:id="rId_hyperlink_264" tooltip="煤九外部护栏开焊，清理平台卫生，开焊的护栏拌倒操作工"/>
    <hyperlink ref="D270" r:id="rId_hyperlink_265" tooltip="5.5米焦炉熄焦池抓斗操作平台缺少踢脚板，安全防护措施缺陷，雨雪天气操作工在平台操作脚底出现打滑，从护栏空隙跌落。"/>
    <hyperlink ref="D271" r:id="rId_hyperlink_266" tooltip="清理卫生时，一只脚不小心滑入污水泵小井中，造成小腿部擦伤，自行处理简单包扎"/>
    <hyperlink ref="D272" r:id="rId_hyperlink_267" tooltip="干熄焦提升机五层上方框架角铁焊接部位腐蚀严重，提升机运行时振动掉落，将下方5米处平台上经过的一名巡检工砸中头部的安全帽上，角铁从安全帽滑落砸在该员工肩膀，受伤出血被送医院"/>
    <hyperlink ref="D273" r:id="rId_hyperlink_268" tooltip="一名职工在巡检测氧仪过程中上部照明灯自由接线盒断裂灯罩掉落砸到职工头部造成轻微擦伤，经医务室简单处理后继续上班"/>
    <hyperlink ref="D274" r:id="rId_hyperlink_269" tooltip="筛焦楼1号放焦观察口无防护装置，一名操作人员工作时没注意脚下，一只脚踩到观察口处，人员歪倒致使尾骨受伤。"/>
    <hyperlink ref="D275" r:id="rId_hyperlink_270" tooltip="一名操作工在煤场巡查作业期间，不慎被煤棚上方坠落物砸伤肩部，导致左手肩部骨折。治疗一个月，在家休养四个月。"/>
    <hyperlink ref="D276" r:id="rId_hyperlink_271" tooltip="预冷塔东侧消防箱因箱底腐烂，导致灭火器掉落，两个灭火器底座损坏！损失200元！"/>
    <hyperlink ref="D277" r:id="rId_hyperlink_272" tooltip="配电室楼顶接地极脱落，起不到避雷作用，易造成设备损坏"/>
    <hyperlink ref="D278" r:id="rId_hyperlink_273" tooltip="一筛焦楼操作工在查看焦仓料位时，脚站在焦仓盖板上，因盖板年久腐烂变型，不慎将盖板踩翻坠入焦仓，发现后紧急救出送医"/>
    <hyperlink ref="D279" r:id="rId_hyperlink_274" tooltip="维修工检修熄焦车斗，上下爬梯时由于爬梯变形没有扶手，手未抓牢，跌落至3米高的地面，腰部跌落在道轨上，及时送医治疗，确诊为腰椎3节骨折，住院治疗一个月，回家休养六个月复工"/>
    <hyperlink ref="D280" r:id="rId_hyperlink_275" tooltip="一人给转动的无防护罩的联轴器注油时，人员右胳臂衣袖过长不慎被联轴器卷入，越卷越紧，最后连同右胳臂一同卷入当场被挤碎，幸亏同伴及时发现停车将其送医，经手术后切除右臂，住院三个月后回家修养，失去工作能力。"/>
    <hyperlink ref="D281" r:id="rId_hyperlink_276" tooltip="焦四后尾缺少护栏，操作工清理卫生，在清理过成中不慎被皮带滚筒卷入衣服，在拖拽时手臂被卷入造成伤害，送入医院被确诊手臂骨裂脱臼，住院治疗三个月，回家修养五个月。"/>
    <hyperlink ref="D282" r:id="rId_hyperlink_277" tooltip="一操作工在夜间下爬梯时，因此处未有照明灯不惧左脚踩空跌落在爬梯下面，导致腰部撞到除尘风机电机底座上，及时送医院检查诊断为腰部三节腰椎骨骨折，住院治疗1个月后回家休养3个月复工。"/>
    <hyperlink ref="D283" r:id="rId_hyperlink_278" tooltip="循环水新凉水架爬梯护栏锈蚀损坏，如果一名操作工在下爬梯时不注意，被右侧锈蚀的护栏划伤右腿，轻微人身伤害，不影响工作"/>
    <hyperlink ref="D284" r:id="rId_hyperlink_279" tooltip="3号料口水泥地面钢筋外露   一人员经过是不慎被外露的钢筋绊倒   扭伤右脚脚踝   休息一会不影响工作"/>
    <hyperlink ref="D285" r:id="rId_hyperlink_280" tooltip="一名操作工站在2米左右除尘电机齿轮箱旁加油时不慎掉下来造成左小腿腿骨折其他人员找来木板给伤者简单固定后，及时送往医院就医。"/>
    <hyperlink ref="D286" r:id="rId_hyperlink_281" tooltip="一名操作工巡检下爬梯时，因爬梯陡，脚底打滑不慎踩空跌落下来摔伤又小腿，送医检查腿骨骨折，住院治疗一月，休息一月。"/>
    <hyperlink ref="D287" r:id="rId_hyperlink_282" tooltip="送煤车顶部看杆平台处有一废弃焊接件，一操作工在下平台时，不慎绊倒摔至捣固平台，肋处横担在了平台棱上受伤，随即送医，经诊断为左侧两肋骨骨折，住院治疗7天，回家休养83天后上班"/>
    <hyperlink ref="D288" r:id="rId_hyperlink_283" tooltip="拦焦平台北头接地电极扁铁翘起，此处无照明，夜班一名员工巡检时没有留意脚下凸起物，被翘起的扁铁绊倒导致右胳膊摔在道轨上受伤，随即送医就诊。经医生诊断为右胳膊骨折，治疗一周在家休养三个月后复工。"/>
    <hyperlink ref="D289" r:id="rId_hyperlink_284" tooltip="机侧1号负压管道下方照明灯安装过低，假如送煤车行走时一名职工恰好站在照明灯下部位置，头部撞在照明灯上。"/>
    <hyperlink ref="D290" r:id="rId_hyperlink_285" tooltip="水熄车爬梯缺少防护笼，一维修工在检修设备时，脚底打滑踏空，从高处坠落小腿与铁器撞击，造成小腿骨折，送医治疗。"/>
    <hyperlink ref="D291" r:id="rId_hyperlink_286" tooltip="因焦四机尾通廊爬梯踏板腐蚀脱落，一操作工在巡检时，不慎踏空造成脚踝扭伤，就医治疗。"/>
    <hyperlink ref="D292" r:id="rId_hyperlink_287" tooltip="夜间送煤车巡检人员在巡检过程中，由于盖板缺失，不慎跌落，造成小腿重伤，送医救治。"/>
    <hyperlink ref="D293" r:id="rId_hyperlink_288" tooltip="推焦车车载除尘护栏矮，操作工在进行布袋清理时脚底磕绊翻越护栏坠落，头部着地，当场昏迷，送医抢救。"/>
    <hyperlink ref="D294" r:id="rId_hyperlink_289" tooltip="拦焦车滑触线绝缘瓷瓶坏，滑触线落于接地线上，造成拦焦断电，抢修两个小时。"/>
    <hyperlink ref="D295" r:id="rId_hyperlink_290" tooltip="装煤车平煤机架接头断裂无法平煤，装煤时浮煤掉落太多造成烟气过大"/>
    <hyperlink ref="D296" r:id="rId_hyperlink_291" tooltip="液碱罐爬梯无护栏，没有固定，一职工下去清理卫生，不慎摔下爬梯，送医确诊右腿骨折，住院15天，回家休养三个月。复工"/>
    <hyperlink ref="D297" r:id="rId_hyperlink_292" tooltip="两盐搅拌器处有蒸汽横管，假如一名操作工在夜间操作时由于灯光视线不足就会被蒸汽横管烫伤右臂，送医务室上药后正常上班。轻微烫伤。"/>
    <hyperlink ref="D298" r:id="rId_hyperlink_293" tooltip="旋转密封阀东墙氧气报警仪配电箱门锁坏，无法关闭，巡检人员巡检时右手触碰电源，造成右手电灼伤，送医治疗。"/>
    <hyperlink ref="D299" r:id="rId_hyperlink_294" tooltip="二次除尘爬梯未安装防滑条，巡检人员下爬梯时脚底打滑，从爬梯上滑落，造成右脚扭伤，送医治疗。"/>
    <hyperlink ref="D300" r:id="rId_hyperlink_295" tooltip="干熄炉三层东侧护栏踢脚板开焊脱落，如遇大风天气刮落一铁件砸伤一行人，造成左肩受伤，送医治疗"/>
    <hyperlink ref="D301" r:id="rId_hyperlink_296" tooltip="一级高压泵接触器保护套老化，失去保护作用，一旦短路一级反渗透停机，将会造成干熄焦锅炉负荷降低"/>
    <hyperlink ref="D302" r:id="rId_hyperlink_297" tooltip="除盐水站一楼加药间地面盖板破损，一员工巡检至此时，脚部不慎插入破损处摔倒，致使脚腕扭伤，送医务室处理后，回到岗位，可从事简单操作工作，未造成损工。"/>
    <hyperlink ref="D303" r:id="rId_hyperlink_298" tooltip="循环水冷却塔风机电缆接头裸露，一员工在巡检风机时，手部不小心触碰裸露部位，造成该员工触电（电压380V），经送医抢救无效死亡。"/>
    <hyperlink ref="D304" r:id="rId_hyperlink_299" tooltip="干熄炉五层到七层消防水管道截断未及时拆除，由于时间较长腐蚀严重从30高空掉落至地面砸中一名巡检人员，当场死亡"/>
    <hyperlink ref="D305" r:id="rId_hyperlink_300" tooltip="汽机房楼顶照明灯电线裸露，一员工巡检时从此经过，不慎触碰裸露电线，触电倒地，经现场心肺复苏后并送医抢救，经抢救无效死亡。"/>
    <hyperlink ref="D306" r:id="rId_hyperlink_301" tooltip="4#减温减压电动门缺防雨罩，阀杆易锈蚀、卡涩，无法开关，造成阀门损坏，财产损失一万元。"/>
    <hyperlink ref="D307" r:id="rId_hyperlink_302" tooltip="消防水池南边爬梯台阶无防滑条，一名员工在巡检完下爬楼时脚底打滑，从4米高处跌落，造成左脚脚踝骨折，送医治疗，休养100天，造成损工事故。"/>
    <hyperlink ref="D308" r:id="rId_hyperlink_303" tooltip="化产车间制氮机房铁板未清理，如果一名巡检工巡检时经过，脚掌踢到铁板摔倒，膝盖擦伤，消毒处理休息一会，继续工作。"/>
    <hyperlink ref="D309" r:id="rId_hyperlink_304" tooltip="锅炉给水泵房西侧电缆桥架盖板未固定，一名巡检人员从此处经过时，电缆盖板从五米高处掉落，砸中左肩，造成左肩骨折，送医治疗。，休养100天。"/>
    <hyperlink ref="D310" r:id="rId_hyperlink_305" tooltip="循环水至消防水池放水管线跨越桥架腐蚀严重、断裂，桥架距离地面1米，一名巡检人员巡检过程中，踩踏桥架时，桥架突然整体断裂，人员跌落，左臂碰在水泥地面上，造成左臂骨裂，送医治疗。"/>
    <hyperlink ref="D311" r:id="rId_hyperlink_306" tooltip="通往5号减温减压的楼梯台阶无防滑条，爬梯陡高，一名员工巡检完设备下爬梯过程中，脚底打滑，不慎从3米高处跌落地面，送医治疗，经检查左脚踝扭伤，休养7天。"/>
    <hyperlink ref="D312" r:id="rId_hyperlink_307" tooltip="防护措施未落实到位，干熄焦区域东地面除尘平台护板开焊，如果操作工巡检过程中不小心踩踏，导致操作工跌落。"/>
    <hyperlink ref="D313" r:id="rId_hyperlink_308" tooltip="凉水架上电缆桥架盖板未固定，大风天气下会被吹落，如果巡检人员从下方经过会被吹落的桥架盖板砸到"/>
    <hyperlink ref="D314" r:id="rId_hyperlink_309" tooltip="5.5米捣鼓机通廊西侧平台离地面约15米无踢脚板，若人员在平台吊物品时1人从下方路过物品掉落被砸中头部造成1名员工死亡"/>
    <hyperlink ref="D315" r:id="rId_hyperlink_310" tooltip="送煤车大链条与托煤板连接夹子有裂。纹，维修人员在检修作业拆卸中发现，并及时对其进行更换"/>
    <hyperlink ref="D316" r:id="rId_hyperlink_311" tooltip="送煤车大链条与托煤板连接夹板有裂纹，维修作业人员在进行检修作业拆卸夹板时发现，并及时进行更换。"/>
    <hyperlink ref="D317" r:id="rId_hyperlink_312" tooltip="炉顶导烟车操作室由于高温导致玻璃有裂缝，假如一名操作人员从旁边穿越玻璃破裂，造成人员手臂划伤，送医治疗休养1个月康复"/>
    <hyperlink ref="D318" r:id="rId_hyperlink_313" tooltip="5.5米推焦车推焦杆电机平台爬梯板变形严重，假设一名操作人员在巡检时踏空滑倒。造成一名操作人员脚部骨折，住院治疗15天。"/>
    <hyperlink ref="D319" r:id="rId_hyperlink_314" tooltip="焦油罐区液下泵电机防雨罩腐蚀严重，下雨导致电机进水，使电机烧毁"/>
    <hyperlink ref="D320" r:id="rId_hyperlink_315" tooltip="5.5米送煤车驾驶室平台铁板腐烂，操作人员在清理现场时一旦踩破身体失去平衡造成一名操作人员小腿扭伤。住院治疗三天，在家休养七天。"/>
    <hyperlink ref="D321" r:id="rId_hyperlink_316" tooltip="一名职工在巡检南风机工段2号电捕时，由于高压发生器输出电缆老化绝缘降低造成电缆漏电致使该名职工电击摔倒后脚部扭伤，送医务室简单处理后继续上班"/>
    <hyperlink ref="D322" r:id="rId_hyperlink_317" tooltip="一名外来施工人员在施工过程中，由于框架狭窄一只脚踩框架，一只脚踩梯子，未系安全带在转身拿工具时，不慎坠落地面，造成腿部骨折"/>
    <hyperlink ref="D323" r:id="rId_hyperlink_318" tooltip="西硫铵原dxs各点迁至新系统，现场各点线路剪裁接入新系统"/>
    <hyperlink ref="D324" r:id="rId_hyperlink_319" tooltip="防爆弯头破裂"/>
    <hyperlink ref="D325" r:id="rId_hyperlink_320" tooltip="西硫铵测点迁移到新dcs控制柜"/>
    <hyperlink ref="D326" r:id="rId_hyperlink_321" tooltip="5.5米干熄车配电室顶部平台腐蚀严重，下雨时漏水导致电器设备连电损坏，维修6个小时，影响干熄焦发电造成财产损失。"/>
    <hyperlink ref="D327" r:id="rId_hyperlink_322" tooltip="职工在清理上升管时，因小平台倾斜导致职工站立不稳，从上升管小平台跌落到炉顶面区域，造成左小腿骨折，送医院救治六个月全愈。"/>
    <hyperlink ref="D328" r:id="rId_hyperlink_323" tooltip="南风机房西侧电缆架上有一块废弃不用的铝皮，一旦风大刮落划中巡检人员脸部，造成巡检人员脸部划伤，上医务室消毒上药后在家休养2天。损工2天。"/>
    <hyperlink ref="D329" r:id="rId_hyperlink_324" tooltip="5.5米捣鼓锤保险销开焊后未及时维修更换，起不到安全保险作用，因夹紧松导致捣鼓杆下滑将保险销打断坠落高15米的地面，砸在下面正在清扫卫生的操作工身上当场死亡。"/>
    <hyperlink ref="D330" r:id="rId_hyperlink_325" tooltip="维修工检修熄焦车斗，由于爬梯变形而且没有扶手，手未抓牢，跌落至3米高的地面，腰部跌落至道轨上，及时送医治疗，确诊为腰椎3节骨折，住院治疗一个月，回家休养六个月复工。"/>
    <hyperlink ref="D331" r:id="rId_hyperlink_326" tooltip="5.5米焦炉导烟车道轨上有铁器杂物，导烟车通过时，若司机未及时发现，将造成导烟车脱轨事故，影响出焦3小时，经济损失11万元。"/>
    <hyperlink ref="D332" r:id="rId_hyperlink_327" tooltip="5.5米焦炉捣固机南门维修材料随意摆放，假如夜班一名巡检员从此处走过被绊倒。手臂触地造成骨折。"/>
    <hyperlink ref="D333" r:id="rId_hyperlink_328" tooltip="熄焦车滑线无防护棚，下雨时拦焦平台积水汇成一条线经过滑线往下流，导致滑线漏电。一名外来施工人员经过时发生触电事故，立即送往医院经医生抢救无效死亡。"/>
    <hyperlink ref="D334" r:id="rId_hyperlink_329" tooltip="推焦化除尘罩南侧活动门上部一端翘起，车辆行驶中活动门脱落，砸中一名出炉操作工肩部受伤，送医院诊断为肩部骨折，住院1个月，在家休养2个月，复工"/>
    <hyperlink ref="D335" r:id="rId_hyperlink_330" tooltip="一名职工在南循环水电解水处理器巡检时，由于电解水内部电极腐蚀断裂造成电极正极与外壳接触造成漏电，该职工用手触摸罐体时造成触电后摔倒使手掌部有轻微磕碰，后经医务室简单处理后继续上班"/>
    <hyperlink ref="D336" r:id="rId_hyperlink_331" tooltip="粗苯东侧立柱消防报警按钮盒脱落，当大雨天气，雨水进入报警按钮盒，造成报警按钮盒内线路短路，造成误报警。"/>
    <hyperlink ref="D337" r:id="rId_hyperlink_332" tooltip="两盐原料罐平台腐蚀严重，如果一操作工巡检时左脚不慎踩空，划伤左小腿，到医院简单包扎后继续上班。"/>
    <hyperlink ref="D338" r:id="rId_hyperlink_333" tooltip="干熄罐边缘护板开焊变形，接焦旋转时，将拦焦车除尘导烟罩刮坏，造成环保事故！"/>
    <hyperlink ref="D339" r:id="rId_hyperlink_334" tooltip="一处电缆接头破损，一名员工在巡检时不慎接触漏点，触电倒地昏迷不醒，送医抢救！"/>
    <hyperlink ref="D340" r:id="rId_hyperlink_335" tooltip="蒸氨塔北花砖处有一弃用废旧管线，假如夜间操作工巡检作业时因视线不好一人被磕到，造成膝盖轻微擦伤，送医护室简单处理后继续工作。"/>
    <hyperlink ref="D341" r:id="rId_hyperlink_336" tooltip="1号水冷套管卸灰电机接线盒密封不严，遇下雨天接线盒内进水，操作工放灰过程中手部碰到电机，造成人员触电，送医治疗"/>
    <hyperlink ref="D342" r:id="rId_hyperlink_337" tooltip="主控楼楼顶4号减温减压压力表伴热带破损，一巡检人员巡检至此处时，左手碰触压力表触电，送医治疗。"/>
    <hyperlink ref="D343" r:id="rId_hyperlink_338" tooltip="2＃提升机北门上部一电缆线头外漏碰触门上沿铁皮，巡检人员巡检此处时右手触碰门边触电，送医治疗。"/>
    <hyperlink ref="D344" r:id="rId_hyperlink_339" tooltip="除盐水站PLC室内，浓水回用系统电脑连接线绝缘层破损，导致失去绝缘能力，一旦产生短路，造成电脑无法正常工作，导致污水池液位无法正常显示，污水外溢，指标超标，造成集团公司通报批评的严重环保事故"/>
    <hyperlink ref="D345" r:id="rId_hyperlink_340" tooltip="一员工巡检5号减温减压时，由于缺少通行爬梯，人员踩踏地面活动铁件通过时，人员摔倒，送医治疗。"/>
    <hyperlink ref="D346" r:id="rId_hyperlink_341" tooltip="一操作人员在巡检过程中因安全意识不强，未发现蒸发器底部法兰腐蚀被喷出的脱硫液烫伤脸部，送医务室简单处理后送医院"/>
    <hyperlink ref="D347" r:id="rId_hyperlink_342" tooltip="南循环水泵房外照明灯损坏，中夜班现场光线昏暗，假如一名巡检工在巡检时，有可能被地面杂物绊倒摔伤，造成右手腕骨折，送医治疗半月，休息三个月后复工"/>
    <hyperlink ref="D348" r:id="rId_hyperlink_343" tooltip="北脱硫碱液罐爬梯无警示牌，如果一名操作工爬梯时，不慎摔落，立即就医。"/>
    <hyperlink ref="D349" r:id="rId_hyperlink_344" tooltip="汽轮机冷油器西侧玻璃破裂，一员工在巡检至此时，破裂的玻璃突然掉落，划伤该员工右前臂，经医务室包扎后回到岗位，可从事简单劳动。"/>
    <hyperlink ref="D350" r:id="rId_hyperlink_345" tooltip="地面铁管未清理，一巡检工经过蒸发冷时被地面铁管绊倒，造成右脚轻微扭伤，短暂休息后继续上班。"/>
    <hyperlink ref="D351" r:id="rId_hyperlink_346" tooltip="一次水池自动补水管弃用未拆除，管线高4米，底部连接处已腐蚀断裂，处与悬空状态，一名员工巡检到此处时，自动补水管上部连接处一旦断裂，管线坠落，砸中该员工左肩，送医检查，左肩骨折，住院治疗十天，休养三个月"/>
    <hyperlink ref="D352" r:id="rId_hyperlink_347" tooltip="循环泵异响一操作工巡检过程中发现循环泵有异响及时倒备用泵通知维修处理，维修工诊断循环泵叶轮松动，停车维修2个小时造成财产损失8千元"/>
    <hyperlink ref="D353" r:id="rId_hyperlink_348" tooltip="一次除尘二层北边放灰电机平台铁板缺失，一名员工放灰时左脚被管线磕绊，不慎踏入缺失处造成左脚脚踝划伤出血。医院包扎限工五天"/>
    <hyperlink ref="D354" r:id="rId_hyperlink_349" tooltip="控制箱电源线长时间裸露老化，绝缘保护管未起到防护作用，一操作工操作过程中触电，送医院治疗3天在家休养5天。"/>
    <hyperlink ref="D355" r:id="rId_hyperlink_350" tooltip="在巡检干熄焦东侧地面除尘时，由于地面除尘平台腐蚀严重，部分铁板掉落，巡检时不慎右脚踩入空隙中，因空隙较大，从8米平台跌落到地面，头部着地当场死亡"/>
    <hyperlink ref="D356" r:id="rId_hyperlink_351" tooltip="一名职工在南风机初冷器巡检时由于地面接地线凸起在行走过程中摔倒，造成手部轻微擦伤，后经医务室处理后继续上班"/>
    <hyperlink ref="D357" r:id="rId_hyperlink_352" tooltip="环境除尘三层电缆盒腐蚀脱落，电缆盒高3米，如遇大风天气，一名员工巡检经过此处时，电缆盒被大风吹下来，砸中该员工右臂，造成右臂划伤，送医包扎，休养一天"/>
    <hyperlink ref="D358" r:id="rId_hyperlink_353" tooltip="除盐水箱爬梯底部缺失一层，夜班一名职工下爬梯时踩空，脚部受伤，送医检查为脚踝扭伤，在家休息10天。"/>
    <hyperlink ref="D359" r:id="rId_hyperlink_354" tooltip="高压配电室隔离柜在线测温装置温度显示异常，巡检人员无法判定触头温度是否正常，如温度过高发生断路器触头烧损，会引起设备停电造成财产损失。"/>
    <hyperlink ref="D360" r:id="rId_hyperlink_355" tooltip="汽机房一楼射水箱处地沟盖板固定不牢，一员工巡检经过此处时，不慎踩翻盖板掉入排水沟内，送医务室检查，经诊断脚踝扭伤，休养7天。"/>
    <hyperlink ref="D361" r:id="rId_hyperlink_356" tooltip="提升机拆除现场铁件杂物混乱，一名施工人员现场从此经过时不慎被铁件绊倒，身体前倾面部着地，鼻骨骨折送医治疗，休养30天。"/>
    <hyperlink ref="D362" r:id="rId_hyperlink_357" tooltip="脱硫塔爬梯护栏开焊，假如一名操作工夜间巡检时，安全意识不强，下爬梯时滑倒，造成腿部骨折。"/>
    <hyperlink ref="D363" r:id="rId_hyperlink_358" tooltip="风机二层平台洞口防护踏板固定不牢，倒风机时其他岗位员工来帮忙对现场环境不熟悉，踩到固定不牢的踏板上摔倒。"/>
    <hyperlink ref="D364" r:id="rId_hyperlink_359" tooltip="制氮机空压机电机连接线外壳脱离，电工在进行检维修作业时触电死亡。"/>
    <hyperlink ref="D365" r:id="rId_hyperlink_360" tooltip="污水处理车间生化缺氧池潜水搅拌器电缆老化下雨短路烧焦，造成搅拌器电机损坏，造成经济损失5000元。"/>
    <hyperlink ref="D366" r:id="rId_hyperlink_361" tooltip="西硫铵排水沟盖板缺陷，导致夜班操作工巡检时不慎踩空跌落划伤腿部，去医务室包扎处理"/>
    <hyperlink ref="D367" r:id="rId_hyperlink_362" tooltip="送煤车接煤板框架破裂，一旦框架整体断裂将造成接煤板折断无法接煤造成装置停用停止打饼4个小时"/>
    <hyperlink ref="D368" r:id="rId_hyperlink_363" tooltip="5.5米送煤车托煤板前部有裂痕，假设在打煤饼过程中断裂，无法使用。造成焦炉停产8小时。"/>
    <hyperlink ref="D369" r:id="rId_hyperlink_364" tooltip="5.5米炉顶导烟车油站电磁阀电线连电冒火，一旦引燃油站，导致火灾，造成导烟车无法使用，损失财产五万元。烧坏设备，"/>
    <hyperlink ref="D370" r:id="rId_hyperlink_365" tooltip="4#捣固机大架子焊缝开裂，由于振动大，一旦大架子开焊，导致捣固机不能正常工作，检修停工1小时，撇焦3孔，造成经济损失约20万元。"/>
    <hyperlink ref="D371" r:id="rId_hyperlink_366" tooltip="两盐出料泵电机未设接地线，可能会造成因电机漏电导致，一名操作工因风险源辨识不足，在擦拭电机过程中触电"/>
    <hyperlink ref="D372" r:id="rId_hyperlink_367" tooltip="一工人经过机侧通廊时，通廊顶部混凝土恰巧大面积脱落砸中其身上，安全帽没有承受住压力导致破裂后混凝土直接砸到他头上导致当场昏迷不醒，现场救援无果后医院人员鉴定其瞳孔放大确定死亡。"/>
    <hyperlink ref="D373" r:id="rId_hyperlink_368" tooltip="一维修工站在检修窗口处用悬臂吊吊装工具时，脚底打滑重心不稳，从离地面15米高的窗口意外坠落"/>
    <hyperlink ref="D374" r:id="rId_hyperlink_369" tooltip="炉顶导烟车因做导烟效果试验，加装备用导套，在试验完后没及时拆除，因用两条倒链吊着，在行走过程中不慎掉落，操作工上前查看时被备用导套斜倒砸伤腿部，及时送医院救治。"/>
    <hyperlink ref="D375" r:id="rId_hyperlink_370" tooltip="碳化三楼碳化管线压力表指针脱落失灵，操作工操作过程中及时发现，若未及时发现工艺超标影响生产。"/>
    <hyperlink ref="D376" r:id="rId_hyperlink_371" tooltip="5.5米焦炉炉顶南端轴流风扇上违规放置槽钢，假如夜间一名职工巡检时不慎被绊倒，造成右手臂骨折"/>
    <hyperlink ref="D377" r:id="rId_hyperlink_372" tooltip="捣固锤保险钩变形起不到保险作用，在送煤车去送煤期间若捣固锤掉落，砸中下面打扫卫生的职工头部，送医医治无效死亡。"/>
    <hyperlink ref="D378" r:id="rId_hyperlink_373" tooltip="推焦车一层操作平台西北角处，平台铺板腐蚀严重，一操作工巡检经过时，不慎跌落右腿受伤，随即送医，经诊疗为右小腿骨折加皮肉划伤，住院治疗1月，回家休养2个月。"/>
    <hyperlink ref="D379" r:id="rId_hyperlink_374" tooltip="送煤洒水阀门距离炭化室送煤口太近，假如送煤时操作工去开启洒水阀门时，突然高压氨水无压力送煤时的火从炭化室口喷出烧伤操作工的面部。"/>
    <hyperlink ref="D380" r:id="rId_hyperlink_375" tooltip="一名操作工，在高3米的二层平台巡检时，不慎脚底打滑，从开焊处坠落至地面，右手臂触地"/>
    <hyperlink ref="D381" r:id="rId_hyperlink_376" tooltip="干熄焦框架5层平台有多处细碎铁件，若1名职工巡查时将其中一铁件踢落，铁件自30多米高空坠下恰巧砸中地面一戴安全帽巡检维护通行人员的头部。"/>
    <hyperlink ref="D382" r:id="rId_hyperlink_377" tooltip="水熄泵房北侧巡查通道被堆放的桥架盖板、铁梯等物件堵塞，恰巧1名启泵操作人员因夜间视线不好，自该处通行时被绊倒，胸部磕碰至现场铁件。"/>
    <hyperlink ref="D383" r:id="rId_hyperlink_378" tooltip="化产车间粗苯贫油冷却器爬梯无警示牌，如果一名操作工攀登时，不慎摔落，腰部受伤，经送医诊断腰部轻微扭伤，休息一会，继续工作。"/>
    <hyperlink ref="D384" r:id="rId_hyperlink_379" tooltip="流量计防水圈老化"/>
    <hyperlink ref="D385" r:id="rId_hyperlink_380" tooltip="2#站芬顿罐区无照明灯，一操作工巡检时因视线不良不慎摔倒，造成右小臂骨折，住院治疗15天出院，在家休养60天后复工"/>
    <hyperlink ref="D386" r:id="rId_hyperlink_381" tooltip="中水酸碱加药间屋顶通风扇下雨期间漏水漏至下方加药泵电机处，电机无防雨罩操作工巡检不及时导致电机进水，造成电机烧毁，经济损失3000元。"/>
    <hyperlink ref="D387" r:id="rId_hyperlink_382" tooltip="深度脱硫泡沫槽摄像头支架腐蚀严重，无法支撑摄像头导致脱落摔坏"/>
    <hyperlink ref="D388" r:id="rId_hyperlink_383" tooltip="夜班洗脱苯一名巡检工在大风天气巡检设备，巡检至泵房南时被吹落的桥架盖板划伤后颈部！"/>
    <hyperlink ref="D389" r:id="rId_hyperlink_384" tooltip="一操作人员在巡检时因注意力不集中未发现地沟盖板破损致使右脚陷入地沟盖板破损处送医务室"/>
    <hyperlink ref="D390" r:id="rId_hyperlink_385" tooltip="东一西侧一吊装作业现场未设监护人，如果钢丝绳松动吊装物掉落砸伤人员腿部，送医治疗，修养3个月。"/>
    <hyperlink ref="D391" r:id="rId_hyperlink_386" tooltip="一名职工在巡检中在初冷器二层平台用手拉护栏的过程中，由于照明穿线管破损发生漏电，造成职工触电后摔倒，后经医务室检查后继续上班"/>
    <hyperlink ref="D392" r:id="rId_hyperlink_387" tooltip="送煤车前沿刮板机盖板已损坏，操作人员在锄煤时，由于未发现盖板损坏，不慎脚踩空，造成脚腕受伤"/>
    <hyperlink ref="D393" r:id="rId_hyperlink_388" tooltip="焦四机尾滚筒护栏缺失，一操作工在清理卫生时，手臂不慎卷入皮带，造成手臂骨折，送医抢救。"/>
    <hyperlink ref="D394" r:id="rId_hyperlink_389" tooltip="地下室机侧通廊顶部铁皮锈蚀坠落，一操作工巡检路过被砸中"/>
    <hyperlink ref="D395" r:id="rId_hyperlink_390" tooltip="推焦车载除尘爬梯未设置安全标识，由于未做到安全提醒，员工在上下爬梯时不慎摔下，脚部着地造成事故。"/>
    <hyperlink ref="D396" r:id="rId_hyperlink_391" tooltip="终冷塔煤气交通阀处爬梯平台太低，开关阀门时不方便，假如一名操作工因安全辨识不到位，站在20米高空的护栏上开关阀门，由于用力过大造成护栏开焊，人员从20米高空坠落，坠落同时头部着地人员当场死亡。"/>
    <hyperlink ref="D397" r:id="rId_hyperlink_392" tooltip="制氮机电磁阀上方屋顶有破损，雨天漏雨直接淋到电磁阀上，造成电磁阀线圈短路制氮机停机"/>
    <hyperlink ref="D398" r:id="rId_hyperlink_393" tooltip="两盐抽水地沟无防护，废水与地面持平不易发现，一工人在巡检工作时不慎踩入地沟造成多处擦伤"/>
    <hyperlink ref="D399" r:id="rId_hyperlink_394" tooltip="两盐一楼料库北面窗户玻璃破损，可能会造成一名操作工因风险辨识不足在窗户底下逗留时，破损尖锐的玻璃坠落划伤颈部"/>
    <hyperlink ref="D400" r:id="rId_hyperlink_395" tooltip="副省煤器与干熄炉连接处保温铁皮松动，巡检人员巡检到副省煤器下部时，被松动掉落的铁皮砸到巡检人员头部，送医治疗。"/>
    <hyperlink ref="D401" r:id="rId_hyperlink_396" tooltip="环境除尘4号灰仓北电缆桥架损坏，操作工经过放灰时破损桥架脱落，砸伤操作工左肩，造成人员伤害"/>
    <hyperlink ref="D402" r:id="rId_hyperlink_397" tooltip="汽轮机零米南侧玻璃破裂，巡检工在擦拭玻璃时，不慎被破裂的玻璃划伤右前臂，送医务室包扎，限工两天。"/>
    <hyperlink ref="D403" r:id="rId_hyperlink_398" tooltip="消防水池排水沟盖板损坏，一操作人员开关阀门途径此处时踩空，右小腿掉入排水沟内被钢筋划伤。"/>
    <hyperlink ref="D404" r:id="rId_hyperlink_399" tooltip="提升机7层，灯杆腐蚀严重歪倒，夜间巡检时，因照明不足巡检人员绊倒跌落至地面，当场死亡。"/>
    <hyperlink ref="D405" r:id="rId_hyperlink_400" tooltip="除盐水站工作人员加碱时，因电缆支撑架过长，工作人员被绊倒，导致面部磕伤，肩关节脱臼，多处软组织挫裂伤"/>
    <hyperlink ref="D406" r:id="rId_hyperlink_401" tooltip="4号水封排水管未经水封直接通入地沟，造成煤气聚集超标存在人员中毒或着火爆炸风险，如果三人在周围检修动火作业，因检修人员风险源辨识不足，防范措施不到位，可能引发着火爆炸事故"/>
    <hyperlink ref="D407" r:id="rId_hyperlink_402" tooltip="粗苯氮气管线法兰漏气，如果一名巡检工巡查到法兰漏气处，会造气巡检工氮气窒息，经送医诊断，轻微中毒。"/>
    <hyperlink ref="D408" r:id="rId_hyperlink_403" tooltip="老凉水架爬梯开焊，如果一名操作工上凉水架巡检时扶手未把牢，可能会造成滑倒脚部扭伤，经住院治疗一周，在家修养30天后复工。"/>
    <hyperlink ref="D409" r:id="rId_hyperlink_404" tooltip="西三平面灯不亮，操作工在清理卫生时，光线太暗被绊倒擦伤"/>
    <hyperlink ref="D410" r:id="rId_hyperlink_405" tooltip="干熄焦锅炉三层加药间铁板开焊翘起，一巡检人员加药时不慎被翘起的铁板拌倒，人员扑倒在地面上，面部着地，造成面部擦伤，鼻骨骨折，送医就治。"/>
    <hyperlink ref="D411" r:id="rId_hyperlink_406" tooltip="氨水过滤器爬梯无安全警示牌，假如一名操作工在上爬梯时，安全意识不强，滑倒在地，脚部扭伤，立即就医。"/>
    <hyperlink ref="D412" r:id="rId_hyperlink_407" tooltip="循环水加药间爬梯无护栏，一员工在加硫酸时，不慎脚底踩空，身体失去平衡，跌落至地面，送医救治，确诊为右侧膝盖骨骨裂。"/>
    <hyperlink ref="D413" r:id="rId_hyperlink_408" tooltip="东地面除尘电机接地线开焊，一巡检人员在巡检东地面除尘电机时，用听棒检查电机时不慎触电，送医治疗，抢救无效死亡"/>
    <hyperlink ref="D414" r:id="rId_hyperlink_409" tooltip="环境除尘三层平台有杂物，一名工作人员从地面经过，大风天气杂物从20米平台刮落砸到人员头部。"/>
    <hyperlink ref="D415" r:id="rId_hyperlink_410" tooltip="MVR二楼原料管入料管线漏液，操作工在巡查时不小心被原料液溅入眼内，用清水清洗后休息片刻，再复工。"/>
    <hyperlink ref="D416" r:id="rId_hyperlink_411" tooltip="干熄焦环境除尘爬梯腐蚀严重，一名巡检工在巡检时，下爬梯时左脚被拌倒身体失去重心后，从二楼平台滚下，送医后住院疗养3个月"/>
    <hyperlink ref="D417" r:id="rId_hyperlink_412" tooltip="五层装入装置预存室放散管道底部平台腐蚀严重，若一巡检人员在此处打扫卫生时，地面平台塌陷，从15米顶部掉落触地，送医院抢救无效死亡。"/>
    <hyperlink ref="D418" r:id="rId_hyperlink_413" tooltip="环境除尘平台顶部电缆桥架腐蚀严重，一巡检人员巡检到此处放灰时，桥架盖板脱落，砸中人员右肩，造成右肩骨折。"/>
    <hyperlink ref="D419" r:id="rId_hyperlink_414" tooltip="环境除尘平台顶部爬梯护栏开焊，一巡检人员下楼梯时脚部打滑身体前倾，从距地面30米的开焊处跌落地面，送医抢救无效死亡"/>
    <hyperlink ref="D420" r:id="rId_hyperlink_415" tooltip="西硫铵2号饱和器三层平台管道开孔后未封堵。一名操作工在此处巡检时不小心坠落，送医检查左腿小腿骨折，住院治疗一个月后回家休养一个月才继续上班。"/>
    <hyperlink ref="D421" r:id="rId_hyperlink_416" tooltip="皮带机竖辊损坏，皮带一旦跑偏时不起作用，将造成皮带破损甚至撕裂。"/>
    <hyperlink ref="D422" r:id="rId_hyperlink_417" tooltip="2#自动包装机螺旋电机叶轮防护罩脱落，一操作工在操作过程中不慎被叶轮击伤，入院治疗经医生诊断手部软组织损伤需住院3天在家休养5天。"/>
    <hyperlink ref="D423" r:id="rId_hyperlink_418" tooltip="南冷凝澄清槽机头爬梯腐烂，一名操作工开机头放散阀门时，爬梯断裂，造成一名操作工摔倒，操作工左臂骨折，脸部擦伤，去医院就医三十天，回家休养两个月后复工"/>
    <hyperlink ref="D424" r:id="rId_hyperlink_419" tooltip="南化产区域临时配电盘配电箱未及时关闭无防雨措施，下雨时雨水顺流到配电盘内部，一名操作人员操作时发生触电，送医诊断为右臂.前胸等处多处灼伤，住院治疗三天，在家休养七天后复工"/>
    <hyperlink ref="D425" r:id="rId_hyperlink_420" tooltip="硫铵西侧现场杂乱，假如一名职工急忙去厕所时，由于辨识不到位，被脚下管道绊倒造成右手腕挫伤，无损工。"/>
    <hyperlink ref="D426" r:id="rId_hyperlink_421" tooltip="一操作工在吹扫管道时没有配带护目镜，原料液喷入眼中，用大量清水清洗休息一会继续正常工作。"/>
    <hyperlink ref="D427" r:id="rId_hyperlink_422" tooltip="天车纲丝绳断裂"/>
    <hyperlink ref="D428" r:id="rId_hyperlink_423" tooltip="除盐水罐补水后铁管未及时撤走，如果巡检工夜间巡检时不慎被绊倒，导致右脚轻微扭伤，休息一会后继续上班。"/>
    <hyperlink ref="D429" r:id="rId_hyperlink_424" tooltip="一名员工在放灰时，由于放灰时间过长，从放灰管中向外喷出尚未燃尽的红料，红料喷到该名员工身上，导致该员工胳膊烫伤，同事送医院治疗。"/>
    <hyperlink ref="D430" r:id="rId_hyperlink_425" tooltip="一名操作工巡检，没引起重视，上平台时不慎踩空滑倒导致手肘划伤，医务室包扎损工一天"/>
    <hyperlink ref="D431" r:id="rId_hyperlink_426" tooltip="氨水罐区氨水泵压力表出现泄露氨水，造成罐区周围氨超标，易造成环保事故"/>
    <hyperlink ref="D432" r:id="rId_hyperlink_427" tooltip="综合供水操作室西窗户南侧窗右下角开裂，如果一名操作I在关闭窗户时，可能把窗户框拉断玻璃脱落划伤左胳膊，送医务室检查包扎合复工。"/>
    <hyperlink ref="D433" r:id="rId_hyperlink_428" tooltip="碳化塔操作平台南侧踢脚板缺失"/>
    <hyperlink ref="D434" r:id="rId_hyperlink_429" tooltip="三楼操作平台护栏下方踢脚板缺失"/>
    <hyperlink ref="D435" r:id="rId_hyperlink_430" tooltip="电焊机漏保进水"/>
    <hyperlink ref="D436" r:id="rId_hyperlink_431" tooltip="捕油器爬梯护栏腐蚀脱落，假设一名操作工上下爬梯时，护栏腐蚀脱落，脚不慎被护栏绊倒造成操作工从爬梯上滚落到地面，头部着地昏迷，送往医院救治。"/>
    <hyperlink ref="D437" r:id="rId_hyperlink_432" tooltip="送煤车1#刮板机篦子断裂，操作人员在打扫煤粉过程中不慎掉进刮板机导致该操作工右腿骨折住院治疗一月在家修养两个月后康复，造成一人损工事故。"/>
    <hyperlink ref="D438" r:id="rId_hyperlink_433" tooltip="热力车间院西北角污水盖板缺央，一操作工在打扫卫生时，不小心掉入地沟，扭伤脚腕，休班三天。"/>
    <hyperlink ref="D439" r:id="rId_hyperlink_434" tooltip="EDI产水压力软管破裂，设备停运一小时"/>
    <hyperlink ref="D440" r:id="rId_hyperlink_435" tooltip="5.5米焦炉，一名操作工在攀爬除尘过程中，未系安全带，高度6米，假如不慎从爬梯摔落，造成腿部骨折，住院40天，休养5个月康复。"/>
    <hyperlink ref="D441" r:id="rId_hyperlink_436" tooltip="5.5米推焦车启门器铜套窜出，假如在启门过程中铜套窜出，造成启门器失去平衡，启门器别坏。停止出焦4小时。"/>
    <hyperlink ref="D442" r:id="rId_hyperlink_437" tooltip="一名巡检工在巡检时，不小心掉入电缆沟中，造成腿部受伤。"/>
    <hyperlink ref="D443" r:id="rId_hyperlink_438" tooltip="二号皮带中部位置，照明光线不好，员工在此操作时，易导致伤害事故发生。造成脚踝扭伤，手臂皮肤擦伤。"/>
    <hyperlink ref="D444" r:id="rId_hyperlink_439" tooltip="一名巡检工在巡检皮带时被三号皮带急停钢丝绳绊倒，造成手臂骨折，送医院就治。"/>
    <hyperlink ref="D445" r:id="rId_hyperlink_440" tooltip="西硫铵西母液槽一补液阀门盘根坏漏液，一名操作工在夜间开关此阀门时被喷出的母液溅入左眼中，因母液含有硫酸，虽然用大量清水冲洗还是导致左眼失明"/>
    <hyperlink ref="D446" r:id="rId_hyperlink_441" tooltip="两盐操作室照明开关未固定，可能造成一人员在开关时因辨识缺陷触碰到电源线，造成该操作工触电"/>
    <hyperlink ref="D447" r:id="rId_hyperlink_442" tooltip="导烟车油站油质过脏，一旦导致电磁阀堵塞电磁阀不能回位将造成油缸无法起落造成导烟车导套吊臂无法正常工作，停止出焦4个小时"/>
    <hyperlink ref="D448" r:id="rId_hyperlink_443" tooltip="煤场抓斗主绳串柱销受长期磨损，抓斗脱落，将一名巡检人员砸伤，送医院抢救无效死亡"/>
    <hyperlink ref="D449" r:id="rId_hyperlink_444" tooltip="煤场抓斗主绳串柱销受长期磨损，抓斗脱落，将一名巡检人员砸伤，送医院抢救无效死亡"/>
    <hyperlink ref="D450" r:id="rId_hyperlink_445" tooltip="西硫铵配电室外接电源电缆杂乱，使用后未及时拆除，夜班时一名巡检工经过被绊倒，造成手部骨折！"/>
    <hyperlink ref="D451" r:id="rId_hyperlink_446" tooltip="一名职工在巡检初冷器过程中由于穿线管破裂造成穿线管内电源线与穿线管接触造成漏电，职工在经过时用手触碰到该处护栏造成触电 ，手部有轻度灼伤后经医务室检查处理后，继续上班"/>
    <hyperlink ref="D452" r:id="rId_hyperlink_447" tooltip="管廊管道保温吕皮松动，遇大风时吹落滑下擦伤操作工面部，去医务室处理后复工"/>
    <hyperlink ref="D453" r:id="rId_hyperlink_448" tooltip="南澄清槽机头腐蚀严重导致大量㴘氨气等废气，假如一名操作工巡检经过此处，吸入大量氨气导致中毒，送医院治疗五天，在家休养五天，康复上班，损工10天。"/>
    <hyperlink ref="D454" r:id="rId_hyperlink_449" tooltip="制氮机房顶部下雨漏水，导致设备进水，电器线路进水短路，设备停机，制氮机无法开启，影响生产，制氮无法正常输送1000方，经济损失两万"/>
    <hyperlink ref="D455" r:id="rId_hyperlink_450" tooltip="北供水配电室电缆沟盖板缺失，如果电仪操作人员到此处巡查未发现电缆沟盖板缺失，一名操作人员掉入电缆沟内造成腿部轻微擦伤，简单处理后正常上班，"/>
    <hyperlink ref="D456" r:id="rId_hyperlink_451" tooltip="中班一名操作工天黑送照明灯时，手碰触到照明配电箱裸露的接线处，因触电倒地及时脱离，除感觉浑身乏力外，未造成大的伤害。"/>
    <hyperlink ref="D457" r:id="rId_hyperlink_452" tooltip="1#满流槽焊缝处因长时间使用被母液腐蚀严重并泄露母液，如果一名巡检人员经过此处时，被喷溅出来的母液溅到左眼中，用大量清水冲洗后送医检查左眼角膜坏死，治疗三个月后康复损工三个月"/>
    <hyperlink ref="D458" r:id="rId_hyperlink_453" tooltip="机头刮煤板刮皮磨损变薄，在开车期间刮皮下翻，机头积煤过多，停车检修一小时后恢复正常生产"/>
    <hyperlink ref="D459" r:id="rId_hyperlink_454" tooltip="照明箱内接线排未用绝缘板防护"/>
    <hyperlink ref="D460" r:id="rId_hyperlink_455" tooltip="操作工巡检时经过除盐水池东头，有一爬梯支撑架将左手臂划伤。"/>
    <hyperlink ref="D461" r:id="rId_hyperlink_456" tooltip="一名操作人员巡检经过初冷器南部时被翘起的接地线拌倒，致使胳膊肘与腿部擦伤，去医务室简单包扎后返工。"/>
    <hyperlink ref="D462" r:id="rId_hyperlink_457" tooltip="因水池无防护，职工在巡检时不慎掉入水池，导致小腿受轻伤，到医务室简单冶疗后继续上班。"/>
    <hyperlink ref="D463" r:id="rId_hyperlink_458" tooltip="硫铵离心机摞栓大面积脱落"/>
    <hyperlink ref="D464" r:id="rId_hyperlink_459" tooltip="粗苯岗位泵房内富油泵电机电线老化发热，导致富油泵跳闸，一旦富油泵无法启动，将造成粗苯装置停产2小时，对本班产量造成严重影响，财产损失2万元。"/>
    <hyperlink ref="D465" r:id="rId_hyperlink_460" tooltip="5.5米导烟车导电轮长期使用造成导电轮中间磨断，导烟车配电室配电盘线路烧毁，两行走电机线圈烧毁。"/>
    <hyperlink ref="D466" r:id="rId_hyperlink_461" tooltip="煤四彩钢包边腐烂悬挂，一旦人员从下方经过时包边脱落易造成人员伤害！"/>
    <hyperlink ref="D467" r:id="rId_hyperlink_462" tooltip="35t除尘器气槽锈蚀严重，巡检人员巡检时不慎被倾倒砸中"/>
    <hyperlink ref="D468" r:id="rId_hyperlink_463" tooltip="西五岗位胶带接头开裂，开车运行过程中，一旦出现接头断裂，导致非计划停车抢修，影响焦炉出焦，造成经济损失2000元。"/>
    <hyperlink ref="D469" r:id="rId_hyperlink_464" tooltip="循环水泵因又加一层顶棚原有的照明灯已不起作用造成一名职工在夜间进入水泵池巡查水泵设备时头部磕伤送医治疗"/>
    <hyperlink ref="D470" r:id="rId_hyperlink_465" tooltip="3号初冷器本体灯不亮，一旦操作工在冲冼初冷时不小心踩空从三层滑落到二层，造成左小腿骨折，住院冶疗一个月，休养2个月。"/>
    <hyperlink ref="D471" r:id="rId_hyperlink_466" tooltip="南风机1#风机机后下液管阀门垫子处泄露煤气，如果没有及时发现，可能导致一名巡检经过此处的操作人员煤气中毒，送医治疗7天后复工。"/>
    <hyperlink ref="D472" r:id="rId_hyperlink_467" tooltip="皮带机运行中，在除铁器上吸附了长钢筋，一旦不及时清理会造成皮带划伤。"/>
    <hyperlink ref="D473" r:id="rId_hyperlink_468" tooltip="西五皮带机一长托辊脱落，皮带机运行中容易造成皮带跑偏与机架磨蹭划伤皮带。"/>
    <hyperlink ref="D474" r:id="rId_hyperlink_469" tooltip="苯酐供蒸汽开启疏水阀时由于胶管老化严重大量高温蒸汽泄露，由于员工躲闪及时未造成人员伤害"/>
    <hyperlink ref="D475" r:id="rId_hyperlink_470" tooltip="开氨水阀门由于没爬梯，需借助其他物体攀爬上去作业"/>
    <hyperlink ref="D476" r:id="rId_hyperlink_471" tooltip="巡检过程中发现二级反渗透产水管道破裂漏水"/>
    <hyperlink ref="D477" r:id="rId_hyperlink_472" tooltip="一操作工在清理减速机处卫生时，不慎被转动的减速机三角带挤伤脚部，送医治疗"/>
    <hyperlink ref="D478" r:id="rId_hyperlink_473" tooltip="炉顶电缆盖损失，旁边蒸汽阀门一旦泄露，烫坏电缆。"/>
    <hyperlink ref="D479" r:id="rId_hyperlink_474" tooltip="因踏板狭窄，操作工上阶梯脚底打滑踩空。造成脚裸扭伤就医修养7天。"/>
    <hyperlink ref="D480" r:id="rId_hyperlink_475" tooltip="西四小井盖板腐烂，职工经过一旦踩上盖板，将造成人员跌落腿部擦伤，消毒处理后继续工作"/>
    <hyperlink ref="D481" r:id="rId_hyperlink_476" tooltip="锅炉操作工去2号给水泵巡检时由于水泵南侧水沟盖板不牢固左腿不慎掉入水沟内造成左小腿骨折，需住院治疗。"/>
    <hyperlink ref="D482" r:id="rId_hyperlink_477" tooltip="南脱硫西溶液槽处接地线翘起，中夜班工作期间如果一名操作人员巡查时经过此处会被翘起的接地线绊倒，造成一名操作人员腿部擦伤，简单处理后继续上班。"/>
    <hyperlink ref="D483" r:id="rId_hyperlink_478" tooltip="卸车司机在卸煤时未戴安全帽，一旦挡板打开回弹，撞伤司机头部，当场昏迷。送医院检查，轻度脑震荡，在家修养7天"/>
    <hyperlink ref="D484" r:id="rId_hyperlink_479" tooltip="3#煤场钢筋外露，职工一旦在料口清理积煤，被外露的钢筋绊倒，造成手掌擦伤，消毒处理后继续工作"/>
    <hyperlink ref="D485" r:id="rId_hyperlink_480" tooltip="北风机拆除现场，因乙炔气瓶压力表模糊不清，乙炔瓶内气用完无压力，施工人员未及时关闭阀门回火爆炸，导致一名施工人员死亡。"/>
    <hyperlink ref="D486" r:id="rId_hyperlink_481" tooltip="2#站沉淀罐护栏缺失，夜间一名操作工巡检时不慎掉入，送医院救治，左小腿骨折，住院半月，在家休养3个月，损工106天。"/>
    <hyperlink ref="D487" r:id="rId_hyperlink_482" tooltip="初冷器南道路下水道盖板破碎，如果一员工从此经过，不慎掉入，造成脚腕扭伤，去医院就医后损工七天。"/>
    <hyperlink ref="D488" r:id="rId_hyperlink_483" tooltip="主控室地板破裂发生塌陷，可能导致操作工右脚扭伤，送医院就医，在家休养七天，损工七天"/>
    <hyperlink ref="D489" r:id="rId_hyperlink_484" tooltip="可导致巡检人员摔伤及扭伤"/>
    <hyperlink ref="D490" r:id="rId_hyperlink_485" tooltip="5.5米焦炉封堵上升管水封的水管阀门保温层破损，无法起到保温作用。假如天气寒冷时阀门冻住，无法给上升管水封供水，将冒大烟造成环保事故。"/>
    <hyperlink ref="D491" r:id="rId_hyperlink_486" tooltip="煤五斜桥处明灯损坏 操作工经过时看不清脚下不慎拌倒造成右手腕骨折 送医院治疗住院一个月在家修养92天"/>
    <hyperlink ref="D492" r:id="rId_hyperlink_487" tooltip="煤六楼梯处照明灯不亮 操作工清理卫生经过时看不清脚下摔倒 扭伤右脚脚踝 休息一会不影响工作"/>
    <hyperlink ref="D493" r:id="rId_hyperlink_488" tooltip="东一地沟护栏套管缺失 操作工巡检时摔倒护栏起不到保护作用造成右胳膊卷入皮带造成右前臂骨折 住院一个月在家修养92天"/>
    <hyperlink ref="D494" r:id="rId_hyperlink_489" tooltip="东一给料机销子松动 继续使用造成卸料斗耳子损坏 无法正常使用影响生产"/>
    <hyperlink ref="D495" r:id="rId_hyperlink_490" tooltip="东二下料斗破损漏煤 晚上操作工巡查时 地上有煤粒脚下打滑摔倒造成右前臂骨折送医院治疗住院一个月在家修养92天"/>
    <hyperlink ref="D496" r:id="rId_hyperlink_491" tooltip="东三篦子钢筋开焊 操作工经过时不慎踩到开焊处 右腿掉进篦子里 造成右小腿划伤 送医院治疗包扎 住院一星期 在家修养一个月"/>
    <hyperlink ref="D497" r:id="rId_hyperlink_492" tooltip="焦炉交换系统焦侧开闭器辅助轮支架锈蚀严重，若断落致使燃烧系统无法正常工作，造成烟囱冒烟的环保事故公司通报。"/>
    <hyperlink ref="D498" r:id="rId_hyperlink_493" tooltip="一名操作人员在操作时，雨后漏雨漏电击伤，由于无护罩雨水渗入被电击伤，造成手部被电击伤，去医务室包扎处理，无损工发生，正常上班。"/>
    <hyperlink ref="D499" r:id="rId_hyperlink_494" tooltip="西五胶带接头破损，如果继续使用，会使创面扩大，造成胶带断裂，非正常停车抢修，经济损失2000元。"/>
    <hyperlink ref="D500" r:id="rId_hyperlink_495" tooltip="氨水储槽进料管有漏点，若未及时处置，大量浓氨水泄漏，造成储槽现场水体氨氮超标，蒸氨装置停车检修堵漏一小时。"/>
    <hyperlink ref="D501" r:id="rId_hyperlink_496" tooltip="氨水阀门离地3米没设爬梯"/>
    <hyperlink ref="D502" r:id="rId_hyperlink_497" tooltip="5.5米熄焦塔高十五米，一员工在地面清理卫生时，塔内砖块因松动坠落，砸中员工肩部，造成肩胛骨粉碎性骨折，送医院急诊手术治疗，休养一年后复工。"/>
    <hyperlink ref="D503" r:id="rId_hyperlink_498" tooltip="扒焦器减速机护罩变形，减速机与电机连接的传动带裸露在外，一操作工在清理减速机卫生时，手部被卷入传动轴，停机处理后送医治疗"/>
    <hyperlink ref="D504" r:id="rId_hyperlink_499" tooltip="扒焦器减速机护罩变形，减速机与电机连接的传动带裸露在外，一操作工在清理减速机卫生时，手部被卷入传动轴，停机处理后送医治疗"/>
    <hyperlink ref="D505" r:id="rId_hyperlink_500" tooltip="粗苯贫油冷却器处更换下来的阀门未按照要求及时清理，假如夜间视线不良，一名操作工到此处巡检有可能会被此阀门绊倒，脸部碰到围堰上面，造成鼻梁骨骨折，损工3个月"/>
    <hyperlink ref="D506" r:id="rId_hyperlink_501" tooltip="炉顶防晒棚直流扇开关缺失防护盖，如果淋雨连电，恰巧一名职工在此避雨触电，经医抢救无效死亡。"/>
    <hyperlink ref="D507" r:id="rId_hyperlink_502" tooltip="西硫铵工段硫铵库房东管架消防水管道保温铝皮脱落，如果在大风天气人员从此经过可能被掉落的铝皮轻微划伤脸部，简单包扎后能正常工作"/>
    <hyperlink ref="D508" r:id="rId_hyperlink_503" tooltip="拖把卷入皮带中，造成皮带划伤，经专业人士维修，财产损失"/>
    <hyperlink ref="D509" r:id="rId_hyperlink_504" tooltip="输煤1号皮带楼梯处电源开关盒盖缺失，一名操作工上煤时巡检到此处，由于楼梯狭窄，光线不够充足，马虎大意，肩膀不慎碰到配电盒，索性反应迅速，没有被电到。"/>
    <hyperlink ref="D510" r:id="rId_hyperlink_505" tooltip="西硫酸铵皮带机电源座接触不良发热，一外包装卸工在装卸硫酸铵时，不慎接触，造成皮带机电源跳闸、手部触电，短暂休息继续工作，无损工。"/>
    <hyperlink ref="D511" r:id="rId_hyperlink_506" tooltip="东五过道未设警示牌，一职工途经时，头部不慎蹭到上方铁板，致轻微擦伤，到医务室敷药后继续上岗作业。"/>
    <hyperlink ref="D512" r:id="rId_hyperlink_507" tooltip="东四后尾清扫器螺栓松动，皮带运行中，一旦清扫不彻底杂物卷入皮带，会造成皮带损伤，经济损失1000元。"/>
    <hyperlink ref="D513" r:id="rId_hyperlink_508" tooltip="2#初冷器中层护栏开焊，一名操作工在冲洗初冷器上下爬梯时，由于护栏开焊，可能造成小腿轻微划伤，去医务室简单处理，未影响正常工作"/>
    <hyperlink ref="D514" r:id="rId_hyperlink_509" tooltip="东五后尾护栏套管有一处开焊，有一名操作工在巡检时手背划伤，到医务室敷药后回到岗位继续工作。"/>
    <hyperlink ref="D515" r:id="rId_hyperlink_510" tooltip="南风机操作工在检查空气呼吸器时发现压力低未达到标准压力(不得低于22MPa)一旦紧急使用，得不到救护，造成人员伤亡。"/>
    <hyperlink ref="D516" r:id="rId_hyperlink_511" tooltip="排水沟盖板破损，一职工在巡检此处，左脚掉入排水沟，造成轻微擦伤，经简单处理继续工作"/>
    <hyperlink ref="D517" r:id="rId_hyperlink_512" tooltip="北脱硫操作室西南角水泥块松动，假如1人巡检经过此处，水泥块突然坠落可能会造成右臂砸伤骨折，住院治疗一个月后在家休养二个月后复工。"/>
    <hyperlink ref="D518" r:id="rId_hyperlink_513" tooltip="北班长室西侧排水沟盖板破损，一名操作工夜间经过此处时未发现盖板破损，左脚不慎落入排水沟底部，造成操作工左脚脚踝扭伤，送往医院治疗在家休养7天。"/>
    <hyperlink ref="D519" r:id="rId_hyperlink_514" tooltip="西五一托辊腐烂，胶带在运行中容易造成划伤。"/>
    <hyperlink ref="D520" r:id="rId_hyperlink_515" tooltip="焦炉南端轴流风扇电源线接头无防护套管，若遇下雨漏电，恰巧一名职工不慎到此处，造成该操作工触电，经抢救无效当场死亡。"/>
    <hyperlink ref="D521" r:id="rId_hyperlink_516" tooltip="5.5米焦炉焦侧通廊顶部挡水玻璃钢瓦紧固的铁丝严重腐蚀。若脱落的玻璃钢瓦恰巧砸中在此巡检的操作工脸部。"/>
    <hyperlink ref="D522" r:id="rId_hyperlink_517" tooltip="5.5m炉顶区护栏无警示标识，若1外来施工人员，施工间隙倚靠护栏，若恰巧该段护栏焊口开裂强度不足，导致人员失去重心自8m高平台坠落。"/>
    <hyperlink ref="D523" r:id="rId_hyperlink_518" tooltip="提升机框架顶部风向标钢管仅根部与底座承插固定，若遇较高级别大风，风向标整体受大力风摆的影响自50m高平台坠落，恰好击中自该处下方巡查通行的1名员工。"/>
    <hyperlink ref="D524" r:id="rId_hyperlink_519" tooltip="硫铵二楼振动筛西北侧平台过小，无护栏，一名硫铵操作工在清理振动筛时，不慎从平台上坠落造成右胳膊小臂骨折。"/>
    <hyperlink ref="D525" r:id="rId_hyperlink_520" tooltip="污水处理车间深度处理岗位配电柜内一中间继电器接线端子腐蚀严重，导致短路故障，造成加药泵无法启动，使系统停车6小时。"/>
    <hyperlink ref="D526" r:id="rId_hyperlink_521" tooltip="生化缺氧池上部流量计由于穿线管密封不严，下雨时顺着穿线管流入流量计内，如不及时处理，一旦雨水连接到线路板，将导致流量计烧毁，造成经济损失0.45万元的设备损坏事故。"/>
    <hyperlink ref="D527" r:id="rId_hyperlink_522" tooltip="东三行灯线散落，职工在操作中易踩到，造成行灯线绝缘层破损"/>
    <hyperlink ref="D528" r:id="rId_hyperlink_523" tooltip="一名工人在打扫熄焦导轨卫生时，被导轨南头西侧翘起的穿线管绊倒，造成该工人手臂受伤，送医治疗"/>
    <hyperlink ref="D529" r:id="rId_hyperlink_524" tooltip="焦侧16#炉门横栓不到位，炉门意外掉落，砸伤一名在此干活的员工，随即紧急送医，经抢救无效死亡。"/>
    <hyperlink ref="D530" r:id="rId_hyperlink_525" tooltip="拦焦平台北头，61#碳化室处的道轨边上出现一个漏洞，一操作工在此干活时，一只脚不慎调入漏洞受伤，随即送医，经诊断为小腿骨折和皮肉划伤，住院治疗1月，回家休养3个月"/>
    <hyperlink ref="D531" r:id="rId_hyperlink_526" tooltip="南风机1#初冷器煤气出口处，有一废弃钢管，距离地面2.5米，如果有一操作工巡检到此处，钢管突然坠落，砸中巡检工右肩部，造成右肩骨裂，送医治疗5天，在家休养三个月，损工96天。"/>
    <hyperlink ref="D532" r:id="rId_hyperlink_527" tooltip="筛焦楼西侧，除尘箱体顶层爬梯扶手开焊，1操作工在爬爬梯时，手抓的爬梯扶手脱落，人员不慎从8米多高爬梯掉落受伤，紧急送医，经抢救无效死亡。"/>
    <hyperlink ref="D533" r:id="rId_hyperlink_528" tooltip="爬梯没有设置安全标识"/>
    <hyperlink ref="D534" r:id="rId_hyperlink_529" tooltip="一操作工夜间巡检经过时，被外露的残留底座绊倒摔伤，造成手臂骨折，住院治疗10天，休养2个月。"/>
    <hyperlink ref="D535" r:id="rId_hyperlink_530" tooltip="老化学水盘式过滤器处接地线翘起，一操作工夜间巡检经过时，被翘起的接地线绊倒，右前臂摔伤，送医院治疗。"/>
    <hyperlink ref="D536" r:id="rId_hyperlink_531" tooltip="爬梯处照明灯不亮"/>
    <hyperlink ref="D537" r:id="rId_hyperlink_532" tooltip="煤棚西侧水沟一盖板缺失，职工途经时，一旦不慎掉入，会造成小腿轻微擦伤，到医务室敷药后回到岗位继续工作。"/>
    <hyperlink ref="D538" r:id="rId_hyperlink_533" tooltip="母液加温器蒸汽阀门垫子坏，蒸汽外漏喷出，若一名维修工在更换阀门垫子时被喷出蒸汽烫伤右手臂，简单处理后正常上班！"/>
    <hyperlink ref="D539" r:id="rId_hyperlink_534" tooltip="锅炉2楼平台与播煤风手柄距离过大，操作工开播煤风时，不慎掉落"/>
    <hyperlink ref="D540" r:id="rId_hyperlink_535" tooltip="岗位用的钎子没有按要求定置摆放，一旦皮带机运行时钎子掉落皮带上，造成皮带划伤"/>
    <hyperlink ref="D541" r:id="rId_hyperlink_536" tooltip="7#煤气水封盖板未复位，操作工在巡检时，一旦掉入水池内会造成人员伤害！"/>
    <hyperlink ref="D542" r:id="rId_hyperlink_537" tooltip="一名巡检工巡检循环水泵时，因电缆杂乱造成绊倒，造成手部受伤，送医院治疗"/>
    <hyperlink ref="D543" r:id="rId_hyperlink_538" tooltip="电缆线架上有架物，掉落时砸伤员工，造成伤害"/>
    <hyperlink ref="D544" r:id="rId_hyperlink_539" tooltip="蒸汽管线疏水伐盖板缺失"/>
    <hyperlink ref="D545" r:id="rId_hyperlink_540" tooltip="东四南侧吊装门未关，一名操作工经过爬梯时，头部碰到门上，造成头部磕伤，送医务室包扎处理，回岗位继续工作。"/>
    <hyperlink ref="D546" r:id="rId_hyperlink_541" tooltip="地沟盖板破裂，人员经过时不小心踩空，造成脚部轻微擦伤，休息片刻后继续工作。"/>
    <hyperlink ref="D547" r:id="rId_hyperlink_542" tooltip="餐厅二楼一消防箱门框开裂，一旦有人开启，极易造成玻璃脱落划伤脚部，送医敷药包扎后回到岗位继续工作。"/>
    <hyperlink ref="D548" r:id="rId_hyperlink_543" tooltip="西五通廊彩钢包边腐烂脱落"/>
    <hyperlink ref="D549" r:id="rId_hyperlink_544" tooltip="一操作工在巡查时不慎被脱落旳电缆套管拌倒造成右手掌擦伤，经检查轻微伤。"/>
    <hyperlink ref="D550" r:id="rId_hyperlink_545" tooltip="热力车间硫铵二楼，振动筛北侧平台，太小，无固定且无护栏，一橾作工上去清理振动筛时，不小心从平台上摔下，摔伤脚踝，住院治疗，休班七天！"/>
    <hyperlink ref="D551" r:id="rId_hyperlink_546" tooltip="碳化岗位取出管阀门垫子破损，取出液泄漏，一操作工在操作过程中被取出液贱伤眼部，简单处理后就医，经医生诊断眼部皮肤灼伤需住院3天在家休养4天。"/>
    <hyperlink ref="D552" r:id="rId_hyperlink_547" tooltip="蒸氨塔南管架上面有一废弃电缆盖板，假如大风天气一名操作工从其下面经过时，可能被掉落的盖板砸到肩部，送医院治疗"/>
    <hyperlink ref="D553" r:id="rId_hyperlink_548" tooltip="北脱硫2号溶液缓冲泵压力表螺栓缺失，当操作工巡检时，压力表垫子破，溶液溢出，溅入操作工的右眼，立刻到洗眼器清洗眼睛，后去医务室检查，眼睛红肿无大碍，拿眼药水消炎后复工。"/>
    <hyperlink ref="D554" r:id="rId_hyperlink_549" tooltip="使用后的钎子违规放在下料筒平台上，一旦下料筒振动电机使用时钎子从高处掉落，容易造成人员伤害。"/>
    <hyperlink ref="D555" r:id="rId_hyperlink_550" tooltip="南冷凝循环罐和剩余罐之间电缆架桥有一废弃铁管，离地面约3米高，如果大风天气，一操作人员巡检经过时，铁管被大风刮落，砸中操作人员左手大母指，送医检查大母指骨裂，在家休养一个月，损工30天。"/>
    <hyperlink ref="D556" r:id="rId_hyperlink_551" tooltip="下料筒平台护栏开焊，人员清理下料筒时，容易造成坠落，造成人身伤害"/>
    <hyperlink ref="D557" r:id="rId_hyperlink_552" tooltip="西硫铵捕酸器平台有杂物未清理，如果有一名操作工到平台操作，不慎被杂物拌倒，造成右手肿大，紧急自身处理后送医院就诊，后在家修养七天后复工。"/>
    <hyperlink ref="D558" r:id="rId_hyperlink_553" tooltip="热力车间DCS热控室地板砖破裂下陷，一司炉工在室内走动时踩到破裂地板砖，地板砖下陷造成该名司炉工右脚扭伤，同事送医院治疗。"/>
    <hyperlink ref="D559" r:id="rId_hyperlink_554" tooltip="脱硫塔北蒸汽放空阀门手柄破损，一操作工在开关阀门时割伤手心，"/>
    <hyperlink ref="D560" r:id="rId_hyperlink_555" tooltip="南化产水封槽北侧一电缆套管腐蚀严重，底部断开。如果操作工发现处理不及时，电缆被套管划破，造成操作工触电，送往医院抢救无效死亡。"/>
    <hyperlink ref="D561" r:id="rId_hyperlink_556" tooltip="货车经过操作室北侧路口，把地沟盖板掀起，盖板掉入地沟内。假如一名操作工经过此处，右脚踏空，不慎摔倒，右腿擦伤，送入医务室简单处理，无损工。"/>
    <hyperlink ref="D562" r:id="rId_hyperlink_557" tooltip="托辊磨损严重，开机时划伤胶带，造成设备损坏。"/>
    <hyperlink ref="D563" r:id="rId_hyperlink_558" tooltip="托辊磨损严重，开机时划伤皮带，造成设备损坏。"/>
    <hyperlink ref="D564" r:id="rId_hyperlink_559" tooltip="煤八后尾污水池清理后盖板未归位，操作员工在巡检或清理卫生时，容易造成人身伤害。"/>
    <hyperlink ref="D565" r:id="rId_hyperlink_560" tooltip="操作工在巡检时发现阻垢剂管线法兰处喷液，走近管线喷液部位，由于没有戴护目镜，药液溅入眼内，送医院治疗。"/>
    <hyperlink ref="D566" r:id="rId_hyperlink_561" tooltip="一号给料机挡煤支架开焊，开车时掉煤严重导致西一皮带停工处理。"/>
    <hyperlink ref="D567" r:id="rId_hyperlink_562" tooltip="电缆未按要求固定，从线架上掉落，员工经过时，造成触电"/>
    <hyperlink ref="D568" r:id="rId_hyperlink_563" tooltip="东冷凝澄清槽管道拆除时未及时清理，悬挂半空中导致施工人员擦伤脸部流血"/>
    <hyperlink ref="D569" r:id="rId_hyperlink_564" tooltip="循环水操作室照明开关无防护罩，当天黑，操作工送照明灯开关时，不慎手触碰照明开关上部电线上造成操作工触电，上级漏电保护器跳闸，操作工脱离危险。"/>
    <hyperlink ref="D570" r:id="rId_hyperlink_565" tooltip="杂物卷入托辊，在开车时一旦不及时处理易造成托辊不能转动皮带跑偏造成皮带刮伤或撕裂！"/>
    <hyperlink ref="D571" r:id="rId_hyperlink_566" tooltip="北脱硫蒸氨水管道阀门坏，维修工更换阀门时，管道内氨水未排净，维修工未带护目镜，松动螺栓时氨水泄露溅入一名维修工眼内，立刻用洗眼器清洗，后去医务室检查，右眼被氨水灼伤，回家休养7天后复工。"/>
    <hyperlink ref="D572" r:id="rId_hyperlink_567" tooltip="西三行灯灯头滑出绝缘防护罩，一旦在使用过程中不注意容易线路短路，电器损坏。。"/>
    <hyperlink ref="D573" r:id="rId_hyperlink_568" tooltip="煤六岗位支架油漆爆裂，脱落的油漆污染环境"/>
    <hyperlink ref="D574" r:id="rId_hyperlink_569" tooltip="西四皮带机上调心托辊磨损严重，造成皮带划伤"/>
    <hyperlink ref="D575" r:id="rId_hyperlink_570" tooltip="3#站西南角电缆桥架盖板脱落，如果一名操作人员在巡检过程中经过，被掉落的盖板砸中肩部，休息片刻后不影响工作。"/>
    <hyperlink ref="D576" r:id="rId_hyperlink_571" tooltip="输煤3号皮带机机尾有一段未按装防护栏，一名员工在巡检时右胳膊不小心被转动的托辊卷入造成左胳膊骨拆。"/>
    <hyperlink ref="D577" r:id="rId_hyperlink_572" tooltip="西硫铵两母液槽联通过桥踏板腐蚀严重，一操作工巡检时不慎右腿踩空划伤，送医院包扎后回家休息一周，复工。"/>
    <hyperlink ref="D578" r:id="rId_hyperlink_573" tooltip="粗苯西南角爬梯护笼开焊，如果操作人员在上下爬梯时不注意被开焊的护笼划伤后背"/>
    <hyperlink ref="D579" r:id="rId_hyperlink_574" tooltip="南风机房一楼，测氧仪处水沟清理完淤泥未盖起来，如果巡检人员走到此处不注意，被挪开的盖板绊倒，造成巡检人员右腿膝盖轻微擦伤，不影响工作，轻微人身伤害"/>
    <hyperlink ref="D580" r:id="rId_hyperlink_575" tooltip="因防护栏套管不在规定位置起不到防护作用，巡检人员在清理卫生时手指轻微划伤，送医务室包扎后继续上班。"/>
    <hyperlink ref="D581" r:id="rId_hyperlink_576" tooltip="东四除铁器上的铁未清理，皮带一旦运行将会划伤皮带造成财产损失"/>
    <hyperlink ref="D582" r:id="rId_hyperlink_577" tooltip="电缆接头浸在水中未进行防水防护发生漏电，巡检操作人员经过积水时被电击。"/>
    <hyperlink ref="D583" r:id="rId_hyperlink_578" tooltip="巡检人员经过脱硫脱硝软水箱东侧时，由于夜间巡检人员未发现地下有个螺丝柱，不慎被绊倒磕到前面台阶，造成手臂受伤，送医救治"/>
    <hyperlink ref="D584" r:id="rId_hyperlink_579" tooltip="南化产十字路口下水道盖板缺失，假如夜间人员上下班的路上，不慎跌落，未发现盖板缺失，造成脚腕受伤，送医救治"/>
    <hyperlink ref="D585" r:id="rId_hyperlink_580" tooltip="假如操作工在打扫卫生时，脚不小心踢到道轨里面，不慎绊倒摔落地面，头部着地，重伤昏迷，送医救治"/>
    <hyperlink ref="D586" r:id="rId_hyperlink_581" tooltip="现场废铁杂乱，假如夜班操作人员在巡检焦四带时，不慎被绊倒，手臂与铁件碰到，造成手臂受伤，送医救治"/>
    <hyperlink ref="D587" r:id="rId_hyperlink_582" tooltip="巡检人员在经过脱硝塔底部时，未发现脱硝塔上部彩钢瓦开裂掉落，砸到肩膀，送医救治"/>
    <hyperlink ref="D588" r:id="rId_hyperlink_583" tooltip="西五一下托辊损坏严重，开车时划伤皮带，造成设备损坏"/>
    <hyperlink ref="D589" r:id="rId_hyperlink_584" tooltip="旋转密封阀南北两侧爬梯未安装护栏，巡检人员下行时，右脚踩空摔落至地面，造成右手手腕轻微骨折，送医治疗。"/>
    <hyperlink ref="D590" r:id="rId_hyperlink_585" tooltip="除铁器废铁未及时清理，开车期间，一旦废铁接触皮带，会划伤皮带，导致非正常停车检修，经济损失一千元。"/>
    <hyperlink ref="D591" r:id="rId_hyperlink_586" tooltip="推焦车载除尘烟囱盖板腐蚀开焊，被启动的风机吹得撬起，万一在员工设备巡检时不慎掉落，划到脸部造成伤害事故。"/>
    <hyperlink ref="D592" r:id="rId_hyperlink_587" tooltip="mvR北侧框架管道上有木板等杂物，如果一名操作工在框架下面打扫地面卫生时，由于风大框架上木板坠落造成操作工右肩膀砸伤去医务室处理伤口后回家休息两天后正常上班"/>
    <hyperlink ref="D593" r:id="rId_hyperlink_588" tooltip="焦油发货室西侧水封无警示标识牌，操作工在开关水封阀门时由于水封无警示标识牌，操作工风险辨识不到位造成操作工左脚脚腕崴伤到医院治疗7天在家休息7天后正常上班损工14天。"/>
    <hyperlink ref="D594" r:id="rId_hyperlink_589" tooltip="东四机头吊装门未及时关闭，一旦岗位人员经过爬梯时容易磕碰到吊装门上，造成人员伤害"/>
    <hyperlink ref="D595" r:id="rId_hyperlink_590" tooltip="环境除尘集合刮板机链条盒腐烂严重，巡检人员检查刮板机时，右手袖口被转动的链条缠住，导致巡检工右臂卷进链条中，送医治疗。"/>
    <hyperlink ref="D596" r:id="rId_hyperlink_591" tooltip="干熄炉提升机5层废弃护栏拆除不彻底，夜间由于灯光不好，操作工巡检时不慎绊倒，手掌轻微擦伤"/>
    <hyperlink ref="D597" r:id="rId_hyperlink_592" tooltip="西硫铵东蒸汽管道保温铝皮松动未及时处理被大风刮落，一名巡检工经过时，左腿被划伤！"/>
    <hyperlink ref="D598" r:id="rId_hyperlink_593" tooltip="因岗位缺损托辊一个，一旦开车极易造成胶带划伤甚至撕裂胶带。导至非正常停车20分钟。"/>
    <hyperlink ref="D599" r:id="rId_hyperlink_594" tooltip="移动式皮带机支架断裂，在输送硫铵过程中导致皮带跑偏，物料掉落下部，假如一人从皮带机下经过，砸伤肩部，导致肩部锁骨骨折，送医院治疗住院15天，休养2个月后复工"/>
    <hyperlink ref="D600" r:id="rId_hyperlink_595" tooltip="北循环水操作室吊灯坠落，一名操作工在吊灯下分析时，被砸中颈部划伤皮肤，去医务室包扎治疗后回岗位工作。"/>
    <hyperlink ref="D601" r:id="rId_hyperlink_596" tooltip="凉水塔顶部平台电缆盒盖子缺失，长时间暴晒雨淋可能导致电缆老化，绝缘性差，引起轴流风扇电机烧毁，经济损失5000元。"/>
    <hyperlink ref="D602" r:id="rId_hyperlink_597" tooltip="东四南侧现场杂乱未能及时清理，一旦巡检人员经过容易绊倒扭伤。"/>
    <hyperlink ref="D603" r:id="rId_hyperlink_598" tooltip="东五分料器处线头裸露，一旦操作工开启设备时，容易引起电灼伤"/>
    <hyperlink ref="D604" r:id="rId_hyperlink_599" tooltip="东五后尾上调心立辊缺失，一旦开启皮带机容易造成偏带划伤皮带"/>
    <hyperlink ref="D605" r:id="rId_hyperlink_600" tooltip="使用后的拖把放在了室外平台上，没有按要求定置摆放，一旦遇到大风天气拖把掉落容易造成人员伤害"/>
    <hyperlink ref="D606" r:id="rId_hyperlink_601" tooltip="4#减温减压爬梯无护栏，一操作人员从爬梯跨越管道时，左脚踩空，无护栏遮挡，从0.5米高爬梯跌落到地面，左脚脚踝扭伤，左小臂擦伤。"/>
    <hyperlink ref="D607" r:id="rId_hyperlink_602" tooltip="缓冲泵压力表损坏，缓冲泵开启时无压力回馈，如果缓冲泵运行时不上量，未及时发现可能会造成机封磨损。"/>
    <hyperlink ref="D608" r:id="rId_hyperlink_603" tooltip="灭火器处工具杂乱摆放，一旦有火灾发生，不能第一时间使用灭火器进行初始灭火，使火灾扩大化造成财产损失。"/>
    <hyperlink ref="D609" r:id="rId_hyperlink_604" tooltip="四楼结晶槽进口管道漏母液，如果一操作人员在三楼出料时母液溅到眼睛里，造成损坏眼球。用清水清洗及时就医。造成一人损工事故"/>
    <hyperlink ref="D610" r:id="rId_hyperlink_605" tooltip="汽轮机七米新装爬梯踏板光滑，巡检人员下爬梯时，由于爬梯缺少防滑条，人员脚底打滑，滑落至地面，送医治疗。"/>
    <hyperlink ref="D611" r:id="rId_hyperlink_606" tooltip="西一3#给料机西侧挡煤板支撑架开焊，一旦供料煤将挡板撑开，将造成原料煤涌入胶带，造成非计划停车"/>
    <hyperlink ref="D612" r:id="rId_hyperlink_607" tooltip="西四机头滚筒刮板变形，导致滚筒积煤不能清刮，一旦积煤多了，将造成胶带跳动偏带，带边划伤"/>
    <hyperlink ref="D613" r:id="rId_hyperlink_608" tooltip="东四机尾清扫器刮皮磨坏，一旦积煤通过清扫器进入后尾滚筒不能及时排出，将造成煤尘飞扬，污染环境"/>
    <hyperlink ref="D614" r:id="rId_hyperlink_609" tooltip="东四机尾清扫器刮皮磨坏，一旦积煤通过清扫器进入后尾滚筒不能及时排出，将造成煤尘飞扬，污染环境"/>
    <hyperlink ref="D615" r:id="rId_hyperlink_610" tooltip="汽轮机汽封加热器阀门裸露，未做保温处理，一名操作工在进行开关阀门时由于疏忽大意，不慎烫伤小臂。送医院治疗，一周后复工。"/>
    <hyperlink ref="D616" r:id="rId_hyperlink_611" tooltip="35t锅炉二楼东墙灯不亮，一操作工夜间巡检过程中，在下楼梯时，不慎左脚踩空摔倒，造成尾骨挫伤"/>
    <hyperlink ref="D617" r:id="rId_hyperlink_612" tooltip="煤十行灯灯线断裂，一旦发生事故，会引起着火。"/>
    <hyperlink ref="D618" r:id="rId_hyperlink_613" tooltip="一外协人员在切割铁板时，因未戴防护手套，造成手背烫伤，去医务室包扎处理，在家休息一天。"/>
    <hyperlink ref="D619" r:id="rId_hyperlink_614" tooltip="煤厂篦子处钢筋翘起 夜班巡查人员经过时 被绊倒扭伤右脚脚踝休息一会不影响工作"/>
    <hyperlink ref="D620" r:id="rId_hyperlink_615" tooltip="东二铁梯子扶手支撑腐蚀 操作工上下梯子用手扶 扶手时由于支撑腐蚀 承受不住重量歪倒 造成人员摔倒 右前臂骨折送医院治疗住院一个月在家修养92天"/>
    <hyperlink ref="D621" r:id="rId_hyperlink_616" tooltip="东一照明灯损坏 操作工巡查时 看不清脚下 不慎被绊倒 扭伤右脚脚踝 休息一会不影响工作"/>
    <hyperlink ref="D622" r:id="rId_hyperlink_617" tooltip="煤六护栏支撑腐蚀开焊 操作工巡查不慎摔倒时起不到防护作用 右手臂被卷入皮带中造成右前臂骨折 送医院治疗住院一个月在家修养92天"/>
    <hyperlink ref="D623" r:id="rId_hyperlink_618" tooltip="东三楼道照明灯损坏 操作工上下楼梯时 看不清脚下不慎摔倒造成右脚脚踝扭伤休息一会不影响工作"/>
    <hyperlink ref="D624" r:id="rId_hyperlink_619" tooltip="1618破碎机加湿罐防护栏开焊，一旦操作工在打水时，容易造成轻微划伤，造成人员伤害"/>
    <hyperlink ref="D625" r:id="rId_hyperlink_620" tooltip="煤九行吊使用完后，隔离护板未及时复位，人员在操作时，一旦不慎坠落，将造成右腿小腿骨折，住院治疗15天，在家修养2个月。"/>
    <hyperlink ref="D626" r:id="rId_hyperlink_621" tooltip="焦油罐爬梯护笼开焊，操作人员巡检时不慎跌落，造成左脚踝扭伤，在家修养10天。"/>
    <hyperlink ref="D627" r:id="rId_hyperlink_622" tooltip="维修汽轮机外协人员安全帽未按要求挂安全帽绳，如果一名操作人员在拆卸螺栓过程中脚底打滑从汽轮机摔到地面头部着地，安全帽未起作用，造成一名操作人员轻微脑震荡，在家休息一周后正常工作，"/>
    <hyperlink ref="D628" r:id="rId_hyperlink_623" tooltip="南冷凝低位槽自吸泵由于长时间运行电机轴承发热损坏，造成电机抱死泵子停止，焦油氨水从低位槽溢出的环保事故。"/>
    <hyperlink ref="D629" r:id="rId_hyperlink_624" tooltip="干熄炉五层103#灭火器铅封缺失，保险销起不到保护作用，造成灭火器失效，一旦发生着火时取用灭火器灭火时未检查核实，无法在最佳时机扑灭初起火灾，造成火势扩大将导入装置烧毁"/>
    <hyperlink ref="D630" r:id="rId_hyperlink_625" tooltip="天车操作室有一块防护玻璃破损并未加防护措施，一名天车操作工在天车操作时不小心从破损玻璃处坠落。"/>
    <hyperlink ref="D631" r:id="rId_hyperlink_626" tooltip="1618配电箱上有杂物，一旦线路短路引燃配电箱上杂物，将会引起火灾"/>
    <hyperlink ref="D632" r:id="rId_hyperlink_627" tooltip="西一水沟篦子未在有效位置，职工途经时，一旦不慎掉入水沟，会造成小腿轻微擦伤，到医务室敷药后继续上岗作业。"/>
    <hyperlink ref="D633" r:id="rId_hyperlink_628" tooltip="蒸氨废水槽顶部人孔处有未清理的废空油桶，假如巡检工在下部作业时遇大风天气会被废空油桶砸伤背部，造成轻微骨折，住院治疗一个月出院在家休养一个月。"/>
    <hyperlink ref="D634" r:id="rId_hyperlink_629" tooltip="南冷凝焦油泵出口阀门外包铝皮破损，如果操作工开关阀门时会被破损铝皮划伤手腕，送卫生室简单包扎不影响工作。"/>
    <hyperlink ref="D635" r:id="rId_hyperlink_630" tooltip="下雨时深井屋子内电缆都在雨水里泡着，抄数时如果有漏电的容易发生触电事故"/>
    <hyperlink ref="D636" r:id="rId_hyperlink_631" tooltip="东二下料筒照明灯不亮"/>
    <hyperlink ref="D637" r:id="rId_hyperlink_632" tooltip="深度脱硫碱剁压棚布铁斗放置不规范，假如一操作工，在加碱时，铁斗滑落，砸到腿部，立即就医。"/>
    <hyperlink ref="D638" r:id="rId_hyperlink_633" tooltip="东四除铁器有废旧钢筋和铁丝，未及时清理，造成皮带割伤撕裂。"/>
    <hyperlink ref="D639" r:id="rId_hyperlink_634" tooltip="粗苯南地下放空槽罐口无盖，罐内装有洗油、萘油、粗苯等液体，挥发的气味造成环境污染。"/>
    <hyperlink ref="D640" r:id="rId_hyperlink_635" tooltip="一名作业人员巡检时经过此处被绊倒  造成右腿摔伤 送医务室治疗后上班 没有损工"/>
    <hyperlink ref="D641" r:id="rId_hyperlink_636" tooltip="汽轮机房至循环水泵房电缆桥架（5米）电缆盒盖板翘起，一名巡检人员巡检经过桥架底部时，盖板从桥架上掉落，砸中该员工右肩，送医检查，右肩骨折。"/>
    <hyperlink ref="D642" r:id="rId_hyperlink_637" tooltip="东二吊装门未关闭"/>
    <hyperlink ref="D643" r:id="rId_hyperlink_638" tooltip="由于电缆套管破裂，一名巡检人员巡检至此处时，电缆一旦漏电，巡检人员不慎碰触电缆，导致巡检人员触电，失去知觉，有效抢救后送医治疗。"/>
    <hyperlink ref="D644" r:id="rId_hyperlink_639" tooltip="脱硫塔闸板电机防护罩脱落，时间长了造成电机损坏，造成闸板下落，造成锅炉停车"/>
    <hyperlink ref="D645" r:id="rId_hyperlink_640" tooltip="一员工在擦二楼窗户玻璃时，不慎被墙面暖气拆除遗留的角铁划伤大腿，送医后缝合五针，需在家休养三天。"/>
    <hyperlink ref="D646" r:id="rId_hyperlink_641" tooltip="东一地沟后尾涝坑篦子缺失，一职工巡检时，一旦踩空，右腿跌落涝坑，造成划伤，送医检查，右小腿轻微划伤，敷药包扎后回到岗位继续工作。"/>
    <hyperlink ref="D647" r:id="rId_hyperlink_642" tooltip="东二岗位护栏套管缺失，一员工清理卫生时，被托辊轻微挤伤"/>
    <hyperlink ref="D648" r:id="rId_hyperlink_643" tooltip="平台二层铁件未清理，平台高度五米，一名巡检人员巡检至平台底部时，铁件坠落砸中右侧肩部，送医治疗，确诊右肩骨折，"/>
    <hyperlink ref="D649" r:id="rId_hyperlink_644" tooltip="一水沟盖板断裂，行人经过时不小心踩空划伤腿部，送医务室进行简单包扎继续回岗操作。"/>
    <hyperlink ref="D650" r:id="rId_hyperlink_645" tooltip="电缆套管缺失，一名巡检人员巡检此处时，电缆一旦漏电巡检人员不慎触碰到电缆，导致人员触电，经现场心肺复苏后送医抢救，抢救无效死亡。"/>
    <hyperlink ref="D651" r:id="rId_hyperlink_646" tooltip="3#站清水池西侧一电缆桥架盖板脱落，如果一名操作人员在巡检过程中经过被掉落的盖板砸中背部，造成背部擦伤，休息一会后不影响工作。"/>
    <hyperlink ref="D652" r:id="rId_hyperlink_647" tooltip="南冷凝澄清槽机头底部腐蚀严重，如果发现不及时会从此处泄露出氨水，造成地面大面积污染。"/>
    <hyperlink ref="D653" r:id="rId_hyperlink_648" tooltip="新化学水加药间加药罐排药管由于没接到地沟，碱洗设备后排到地面地滑摔倒造成膝盖灼伤"/>
    <hyperlink ref="D654" r:id="rId_hyperlink_649" tooltip="拆卸后的护栏放置不当，操作工巡检时，不慎被护栏绊倒，脚踝扭伤，送医治疗。"/>
    <hyperlink ref="D655" r:id="rId_hyperlink_650" tooltip="水沟盖板断裂，一员工经过时不小心掉入水沟，造成腿部轻微受伤，送医务室进行简单包扎处理继续回岗工作。"/>
    <hyperlink ref="D656" r:id="rId_hyperlink_651" tooltip="新化学水加药间浓水排污管线盖板缺失"/>
    <hyperlink ref="D657" r:id="rId_hyperlink_652" tooltip="化产车间粗苯贫油槽处无警示牌，如果一名操作工攀登时，不慎摔落，腿部受伤，经送医诊断，腿部骨折。"/>
    <hyperlink ref="D658" r:id="rId_hyperlink_653" tooltip="两盐搅拌罐底部出料阀门腐蚀严重，在出料时会向外喷高温脱硫液，一名操作工在夜间操作时如果没有发现此处漏点有可能会被喷溅出的高温脱硫液烫伤面部，造成面部红肿起水泡，损工3天。"/>
    <hyperlink ref="D659" r:id="rId_hyperlink_654" tooltip="75t锅炉主控室地板破裂，可能导致操作工右脚扭伤，送医院就医，在家休养七天，损工七天"/>
    <hyperlink ref="D660" r:id="rId_hyperlink_655" tooltip="电动葫芦电源线破损露线，一操作工操作时触电"/>
    <hyperlink ref="D661" r:id="rId_hyperlink_656" tooltip="粗苯南管式炉处的33#煤气水封阀门盘根漏水，如果不及时处理，有可能会因为煤气冷凝液泄漏而污染环境造成环保事故。"/>
    <hyperlink ref="D662" r:id="rId_hyperlink_657" tooltip="脱硫地沟盖板损坏，夜间1人在巡检时右脚不小心采在损坏的盖板上，右脚陷入地沟被盖板划伤。到医院包扎损工半天。"/>
    <hyperlink ref="D663" r:id="rId_hyperlink_658" tooltip="东一皮带托辊损坏，开车时容易划伤皮带造成财产损失。"/>
    <hyperlink ref="D664" r:id="rId_hyperlink_659" tooltip="煤十电机与滚筒之间的梅花垫老化损坏，一旦开机容易造成设备损坏，负荷停带。"/>
    <hyperlink ref="D665" r:id="rId_hyperlink_660" tooltip="锅炉平台西接线盒无封堵，下雨时可能导致进水引起设备短路跳闸，造成不必要的损失"/>
    <hyperlink ref="D666" r:id="rId_hyperlink_661" tooltip="西五皮带机下一托辊磨破，皮带运行当中容易造成皮带划伤"/>
    <hyperlink ref="D667" r:id="rId_hyperlink_662" tooltip="干熄焦主控室防静电皮子破裂，操作工行走时打滑，造成右脚扭伤，送医救治，在家休养7天，损工7天"/>
    <hyperlink ref="D668" r:id="rId_hyperlink_663" tooltip="煤厂水沟盖板损坏，夜间1人在巡检时右脚不小心采在损坏的盖板上，右脚陷入水沟被盖板划伤。到医院包扎损工半天"/>
    <hyperlink ref="D669" r:id="rId_hyperlink_664" tooltip="煤八后尾中间一托辊轴承损坏"/>
    <hyperlink ref="D670" r:id="rId_hyperlink_665" tooltip="在开车过程中，一但挡板开焊脱落可能皮带划伤撕裂造成设备事故和溢料和带料等生产事故"/>
    <hyperlink ref="D671" r:id="rId_hyperlink_666" tooltip="在开车过程中，一但挡板开焊脱落可能皮带划伤撕裂造成设备事故和溢料和带料等生产事故"/>
    <hyperlink ref="D672" r:id="rId_hyperlink_667" tooltip="西四岗位3#配料称控煤板腐烂断裂，运行中一旦掉落会造成配料环型带撕裂。"/>
    <hyperlink ref="D673" r:id="rId_hyperlink_668" tooltip="锅炉东侧楼梯第一个下台阶与地面距离过大，职工在下台阶时容易跌倒，造成人身伤害事故发生。"/>
    <hyperlink ref="D674" r:id="rId_hyperlink_669" tooltip="一名职工在打扫路，被挡风墙上的腐蚀网片掉落砸到右肩膀，急时送医院就医治疗，确诊为右臂骨折，住院十五天，在家休养三个月后复工。"/>
    <hyperlink ref="D675" r:id="rId_hyperlink_670" tooltip="北脱硫39#水封放空管有冷凝液漏出，如果不及时处理有大量废液漏出流到地上，可能会造成环保事故发生。"/>
    <hyperlink ref="D676" r:id="rId_hyperlink_671" tooltip="连轴器护罩镙栓缺失，造成连轴器损坏，损失一千元。"/>
    <hyperlink ref="D677" r:id="rId_hyperlink_672" tooltip="东一门口吸铁器旁边一盛废铁水桶放在走廊中间，一名员工走到这里被绊倒，跌伤腿部，去医院包扎，在家修养三天。"/>
    <hyperlink ref="D678" r:id="rId_hyperlink_673" tooltip="东一门口吸铁器旁边一盛废铁水桶放在走廊中间，一名员工走到这里被绊倒，跌伤腿部，去医院包扎，在家修养三天。"/>
    <hyperlink ref="D679" r:id="rId_hyperlink_674" tooltip="煤五一护栏未及时复位，开车期间，职工经过时，一旦不慎将衣服卷入托辊，会造成手臂擦伤，到医务室敷药后继续上岗作业。"/>
    <hyperlink ref="D680" r:id="rId_hyperlink_675" tooltip="北地下放空槽作业属于受限空间作业，不能随便进入，护栏门坠落未固定，不能起到警示他人的作用，操作工未经检测进入受限空间作业易造成轻微中毒，休息片刻后继续工作。"/>
    <hyperlink ref="D681" r:id="rId_hyperlink_676" tooltip="制氮机组北门地面杂物未清理，如果操作工巡检时被绊倒造成左手轻微扭伤，休息一会后继续上班。"/>
    <hyperlink ref="D682" r:id="rId_hyperlink_677" tooltip="一名操作工需要到管架开关阀门时，由于爬梯支架断裂造成操作工坠落。"/>
    <hyperlink ref="D683" r:id="rId_hyperlink_678" tooltip="水封槽自吸泵电机护罩脱落，如果下雨时雨水淋到电机上，可能造成电机损坏和水封槽溢液的环境污染事故。"/>
    <hyperlink ref="D684" r:id="rId_hyperlink_679" tooltip="冷凝液管线保温铝皮开裂，假如大风天气一名巡检工从管架下经过，铝皮脱落砍在巡检工颈部，造成颈部划伤，去医院简单处理后继续上班，无损工。"/>
    <hyperlink ref="D685" r:id="rId_hyperlink_680" tooltip="煤五皮带机护栏没有复位，一旦操作工工作过程中不小心将右手卷入，造成骨折住院治疗一个月，休养两个月。"/>
    <hyperlink ref="D686" r:id="rId_hyperlink_681" tooltip="粗苯排渣罐西墙外面消防箱子门框开裂。"/>
    <hyperlink ref="D687" r:id="rId_hyperlink_682" tooltip="老化学水，水池出口阀管道盖板缺失"/>
    <hyperlink ref="D688" r:id="rId_hyperlink_683" tooltip="硫酸罐腐蚀破损，一操作工放硫酸时不慎溅到右腿上，腐蚀破工作服及皮肤，就医后住院治疗一天，休息一周后复工"/>
    <hyperlink ref="D689" r:id="rId_hyperlink_684" tooltip="防爆绕性管破裂，环境腐蚀铁链接件，断裂。"/>
    <hyperlink ref="D690" r:id="rId_hyperlink_685" tooltip="外排阀电器接口与防爆绕性管不配套，没法正常连接。"/>
    <hyperlink ref="D691" r:id="rId_hyperlink_686" tooltip="南风机初冷器煤气出口管道现场压力表损坏，当电脑dcs远传压力不准时，操作工无法与现场压力表比较，造成生产系统超压，风机系统停机，焦炉侧冒烟，造成公司内通报批评。"/>
    <hyperlink ref="D692" r:id="rId_hyperlink_687" tooltip="一名员工在一号冷灰机放灰时大量炉灰喷溅躲闪及时未造成人员伤害"/>
    <hyperlink ref="D693" r:id="rId_hyperlink_688" tooltip="东硫铵卸酸槽处防护栏缺失，由于夜间光线暗，一旦巡检人员经过时不慎掉落卸酸槽内，造成右小腿骨折，住院治疗一个月，回家休养两个月后康复。造成损工91天"/>
    <hyperlink ref="D694" r:id="rId_hyperlink_689" tooltip="液下泵蒸汽阀门垫子坏，蒸汽外漏。如果操作工在开阀门时被喷出蒸汽烫伤左手臂，去医务室简单处理后正常上班"/>
    <hyperlink ref="D695" r:id="rId_hyperlink_690" tooltip="中控室照明灯损坏，中夜班光线昏暗，职工看不清易发生误操作，造成非正常停车"/>
    <hyperlink ref="D696" r:id="rId_hyperlink_691" tooltip="维修工在结晶槽顶工作时，不小心扳手滑落砸到一名巡检工肩膀，住院治疗7天，损工一月"/>
    <hyperlink ref="D697" r:id="rId_hyperlink_692" tooltip="一外协人员在南脱硫南框架上，紧固螺栓，因安全带未规范使用（高挂低用 ），在紧固螺栓时，因用力过猛滑扳，导致脚下站立不稳滑倒，被安全带勒伤腰部，送医治疗三天。休息五天上班。"/>
    <hyperlink ref="D698" r:id="rId_hyperlink_693" tooltip="煤厂料口处钢筋翘起，操作工经过时一旦绊倒造成右小腿擦伤，休息一会后不影响工作"/>
    <hyperlink ref="D699" r:id="rId_hyperlink_694" tooltip="煤九爬梯未设警示标志，职工攀登时，一旦不慎脚下打滑摔倒，会造成手臂轻微擦伤，到医务室敷药后继续上岗作业。"/>
    <hyperlink ref="D700" r:id="rId_hyperlink_695" tooltip="北循环水，北侧管架上方旧管线断裂坠落，如果一名操作人员在巡检作业，可能被四管线绊倒摔伤，送医院检查，左手骨裂，住院治疗一周后康复。"/>
    <hyperlink ref="D701" r:id="rId_hyperlink_696" tooltip="南循环水轴流风扇油管破裂，一名维修人员工作时，用力过猛导致一根腿踩进铁梯缝隙中导致腿部擦伤，去医务室简单处理，正常工作"/>
    <hyperlink ref="D702" r:id="rId_hyperlink_697" tooltip="1618  2#破碎机返击板已到使用周期，一旦继续使用，将会造成破碎机粒度超标，影响焦炭质量，造成经济损失。"/>
    <hyperlink ref="D703" r:id="rId_hyperlink_698" tooltip="75T锅炉渣库爬梯未加防滑钢筋，一名操作工在爬爬梯准备放渣时，由于雨天爬梯湿滑不小心从爬梯处滑下，造成左臂和左小腿骨折，同事送医院治疗。"/>
    <hyperlink ref="D704" r:id="rId_hyperlink_699" tooltip="洗车器上方管道损坏坠落，管道突然断裂坠落，运煤车辆途径时，一旦被管道砸中，会导致车体受损经济损失500元。"/>
    <hyperlink ref="D705" r:id="rId_hyperlink_700" tooltip="液碱计量泵出口活结漏液，操作人员去巡检计量泵时，因夜间视线不良未发现，因劳保着装规范整齐，液碱喷溅到操作人员衣服上，及时脱去衣物，用大量清水清洗，未造成人员伤害。"/>
    <hyperlink ref="D706" r:id="rId_hyperlink_701" tooltip="一维修工在修理絮凝剂加药管时药液喷出，溅入眼中"/>
    <hyperlink ref="D707" r:id="rId_hyperlink_702" tooltip="二楼离心机下液管法兰垫子破损，当操作工开机出料时，下液管中母液从破损处喷溅，造成眼部轻度灼伤，送医治疗，损工7天。"/>
    <hyperlink ref="D708" r:id="rId_hyperlink_703" tooltip="南脱硫循环槽上部人孔处，用于气体置换的轴流风扇电缆接头破损，如果遇到雷雨天气，电缆接头遇水连电，造成一名正在循环槽巡检的操作人员触电休克，送医治疗一周后康复。"/>
    <hyperlink ref="D709" r:id="rId_hyperlink_704" tooltip="一名操作工在巡检时，不慎被乱放的电缆架盖板给绊倒，造成右手前臂骨折。"/>
    <hyperlink ref="D710" r:id="rId_hyperlink_705" tooltip="一员工夜间巡检时，不慎被梯子拌倒，面部着地，碰掉门牙一颗，住院治疗IO天。"/>
    <hyperlink ref="D711" r:id="rId_hyperlink_706" tooltip="脱硫循环水池地沟盖板腐蚀严重，人员在巡检时不小心可能踩空，磕伤右脚，去医务室处理，不影响正常上班！"/>
    <hyperlink ref="D712" r:id="rId_hyperlink_707" tooltip="粗苯贫油冷却器处有一根废旧铁管没有及时清理而且放置不规范，如果在大风天气一名操作工经过此处，有可能会被吹倒的铁管砸伤左脚，造成左脚红肿，在家休养3天后复工，损工3天。"/>
    <hyperlink ref="D713" r:id="rId_hyperlink_708" tooltip="西二后尾爬梯扶手护栏开焊，一旦职工扶护栏下爬梯时，因扶手失去支撑，职工头部向前摔倒在地，脸部轻微擦伤，消毒处理后，继续工作。"/>
    <hyperlink ref="D714" r:id="rId_hyperlink_709" tooltip="危废库北库房内220∨照明灯连接管处断裂，线头外露。如果一名操作工在进入库房内开灯时可能引起灯头处电线短路，造成人员触电死亡。"/>
    <hyperlink ref="D715" r:id="rId_hyperlink_710" tooltip="污水超滤处管线断裂，操作人员没有及时发现，超滤设备无法开启"/>
    <hyperlink ref="D716" r:id="rId_hyperlink_711" tooltip="北脱硫泵房内设备拆除后北门口路面所用障碍物未及时清理，一但巡检人员经过不慎被障碍物拌倒造成左手臂轻微擦伤，送医务室简单处理后后正常工作"/>
    <hyperlink ref="D717" r:id="rId_hyperlink_712" tooltip="收发室北侧水沟盖板断裂，一职工一旦从上面经过，左腿跌落水沟，造成左小腿划伤，送医务室敷药包扎后回到岗位继续工作。"/>
    <hyperlink ref="D718" r:id="rId_hyperlink_713" tooltip="南冷凝液下泵电机有噪音，振动异常，如果长时间震动，就会造成联轴器损坏，烧毁电机，财产损失价值五万"/>
    <hyperlink ref="D719" r:id="rId_hyperlink_714" tooltip="东一1号给料机连杆销子螺母缺失，如果继续使用，一旦销子移位，就会造成连接装置损坏，迫使非正常停机检修一小时，经济损失500元。"/>
    <hyperlink ref="D720" r:id="rId_hyperlink_715" tooltip="渣库爬梯未设警示牌，职工在攀登时，不慎脚下打滑摔倒，造成手臂轻微擦伤，到医务室敷药后继续上岗作业。"/>
    <hyperlink ref="D721" r:id="rId_hyperlink_716" tooltip="水沟盖板断裂，一名员工在夜间巡查时不小心掉入水沟，造成腿部轻微伤，送医包扎后继续上岗。"/>
    <hyperlink ref="D722" r:id="rId_hyperlink_717" tooltip="粗苯岗位南侧防尘网固定螺丝松动断开，防尘网坠落，一名操作人员巡检至此，防尘网坠落，操作工被防尘网砸到头部，造成轻微脑震荡。"/>
    <hyperlink ref="D723" r:id="rId_hyperlink_718" tooltip="西一斜桥中部一护栏开焊，一旦操作工在操作时易造成人员挤伤！"/>
    <hyperlink ref="D724" r:id="rId_hyperlink_719" tooltip="煤场西南角污水管线连接处螺栓脱落，造成污水外漏，一旦污水流入外部，将造成环境污染。"/>
    <hyperlink ref="D725" r:id="rId_hyperlink_720" tooltip="干熄焦锅炉一次除尘处减压阀捆绑在气源管线上，一旦该气源管线脱落或减压阀掉落，均会造成一次除尘不能正常工作，长时间停运会造成环境污染。"/>
    <hyperlink ref="D726" r:id="rId_hyperlink_721" tooltip="热力车间西北角地沟盖板未盖严，一操作工在巡检时，不小心掉入地沟，小腿磕破皮，去医务室包札。"/>
    <hyperlink ref="D727" r:id="rId_hyperlink_722" tooltip="两盐切片机电机风扇罩腐蚀严重，假如一名有异物进入导致扇叶破碎，可能导致一名操作工被破片击伤面部"/>
    <hyperlink ref="D728" r:id="rId_hyperlink_723" tooltip="浓水地沟盖板破损，一名巡检工巡检时，将盖板踩破掉入排水沟，扭伤脚腕划伤小腿"/>
    <hyperlink ref="D729" r:id="rId_hyperlink_724" tooltip="干熄焦焦粉仓二层北边侧部分护栏缺失，离地高度约10米，一名巡检人员巡检经过时，假如不慎跌落，造成一人头部着地，当场死亡。"/>
    <hyperlink ref="D730" r:id="rId_hyperlink_725" tooltip="焦四机头滚筒联轴器无护罩，未设警示标志。设备运转时，一操作人员清扫该设备，右前臂不慎被击伤，造成右前臂骨折，住院治疗90天。"/>
    <hyperlink ref="D731" r:id="rId_hyperlink_726" tooltip="脱硫氨水1号泵罗丝松动，振动异常，如果长时间振动会造成联轴器损坏，烧毁电机，财产损失价值2万元"/>
    <hyperlink ref="D732" r:id="rId_hyperlink_727" tooltip="阻垢剂计量泵漏液腐蚀计量泵"/>
    <hyperlink ref="D733" r:id="rId_hyperlink_728" tooltip="机侧二层平台南部地面破裂，一旦一名工作人员在清理卫生时地面塌陷，将会造成一人坠落死亡"/>
    <hyperlink ref="D734" r:id="rId_hyperlink_729" tooltip="干熄焦环境除尘爬梯护栏底部锈蚀严重，部分断裂，巡检人员巡检经过时，一旦护栏掉落，砸中巡检人员，造成一名人员肩部骨折，住院治疗60天。"/>
    <hyperlink ref="D735" r:id="rId_hyperlink_730" tooltip="东一垃圾桶摆放在道路中央，一职工途经时，一旦不慎被绊倒，会导致手臂轻微擦伤，到医务室敷药后继续上岗作业。"/>
    <hyperlink ref="D736" r:id="rId_hyperlink_731" tooltip="导烟车1号机爪油缸长期使用，油封老化无法使用，造成装煤作业时机侧冒烟的环保事故被集团公司通报"/>
    <hyperlink ref="D737" r:id="rId_hyperlink_732" tooltip="两盐分离器附近的轴流风扇无安全护罩，如果一名操作工在带电运转时移动该风扇时，有可能会被气流把手臂吸进风扇内造成右手粉碎性骨折最后截肢，损工半年。"/>
    <hyperlink ref="D738" r:id="rId_hyperlink_733" tooltip="脱硫塔控制电源箱防雨罩脱落，容易造成雨水进入配电盘，造成电器短路，导致脱硫工段停止运行"/>
    <hyperlink ref="D739" r:id="rId_hyperlink_734" tooltip="5.5米机侧煤气水封未用彩钢瓦封堵，一旦工作人员在抽水作业时，会出现煤气中毒事故"/>
    <hyperlink ref="D740" r:id="rId_hyperlink_735" tooltip="南冷凝1#高压氨水泵压力不稳定，装煤时压力波动大，有时显示负数，加完煤后，变频、压力降不下来。假如操作人员发现不及时，可能会造成高压泵机封泄漏影响生产，焦炉冒烟环境污染事故，集团公司通报批评！"/>
    <hyperlink ref="D741" r:id="rId_hyperlink_736" tooltip="南冷凝现场杂物摆放不规范，导致夜班一名巡检人员，脚踝划伤，去医务室处理后正常上班"/>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隐患动态跟踪表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振兴焦化管理员</dc:creator>
  <cp:lastModifiedBy>振兴焦化管理员</cp:lastModifiedBy>
  <dcterms:created xsi:type="dcterms:W3CDTF">2020-10-09T09:23:36+08:00</dcterms:created>
  <dcterms:modified xsi:type="dcterms:W3CDTF">2020-10-09T09:23:36+08:00</dcterms:modified>
  <dc:title>潍坊振兴焦化有限公司隐患动态跟踪</dc:title>
  <dc:description>file generated using system</dc:description>
  <dc:subject>2020年9月报告</dc:subject>
  <cp:keywords>隐患排查</cp:keywords>
  <cp:category/>
</cp:coreProperties>
</file>